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TAZIONE PROGRAMMAZIONE SPESA DI PERSONALE\2026\"/>
    </mc:Choice>
  </mc:AlternateContent>
  <bookViews>
    <workbookView xWindow="0" yWindow="0" windowWidth="28800" windowHeight="11430"/>
  </bookViews>
  <sheets>
    <sheet name="Estrazione dati anagrafici (12)" sheetId="2" r:id="rId1"/>
  </sheets>
  <definedNames>
    <definedName name="_xlnm._FilterDatabase" localSheetId="0" hidden="1">'Estrazione dati anagrafici (12)'!$B$2:$R$62</definedName>
  </definedNames>
  <calcPr calcId="162913"/>
</workbook>
</file>

<file path=xl/calcChain.xml><?xml version="1.0" encoding="utf-8"?>
<calcChain xmlns="http://schemas.openxmlformats.org/spreadsheetml/2006/main">
  <c r="R73" i="2" l="1"/>
  <c r="L12" i="2"/>
  <c r="H62" i="2" l="1"/>
  <c r="L33" i="2" l="1"/>
  <c r="I33" i="2"/>
  <c r="H33" i="2"/>
  <c r="L31" i="2"/>
  <c r="I31" i="2"/>
  <c r="H31" i="2"/>
  <c r="R60" i="2"/>
  <c r="L39" i="2"/>
  <c r="I39" i="2"/>
  <c r="H39" i="2"/>
  <c r="L38" i="2"/>
  <c r="I38" i="2"/>
  <c r="H38" i="2"/>
  <c r="K39" i="2" l="1"/>
  <c r="J39" i="2"/>
  <c r="J38" i="2"/>
  <c r="K38" i="2" s="1"/>
  <c r="I12" i="2"/>
  <c r="H12" i="2"/>
  <c r="O39" i="2" l="1"/>
  <c r="N39" i="2"/>
  <c r="Q39" i="2"/>
  <c r="M39" i="2"/>
  <c r="Q38" i="2"/>
  <c r="N38" i="2"/>
  <c r="M38" i="2"/>
  <c r="P38" i="2" s="1"/>
  <c r="R38" i="2" s="1"/>
  <c r="O38" i="2"/>
  <c r="O54" i="2"/>
  <c r="O53" i="2"/>
  <c r="O51" i="2"/>
  <c r="O50" i="2"/>
  <c r="O49" i="2"/>
  <c r="O48" i="2"/>
  <c r="O47" i="2"/>
  <c r="O46" i="2"/>
  <c r="O30" i="2"/>
  <c r="O29" i="2"/>
  <c r="O28" i="2"/>
  <c r="O27" i="2"/>
  <c r="O26" i="2"/>
  <c r="O25" i="2"/>
  <c r="O24" i="2"/>
  <c r="L11" i="2"/>
  <c r="I11" i="2"/>
  <c r="H11" i="2"/>
  <c r="I6" i="2"/>
  <c r="O5" i="2"/>
  <c r="O59" i="2"/>
  <c r="L60" i="2"/>
  <c r="I60" i="2"/>
  <c r="H60" i="2"/>
  <c r="L26" i="2"/>
  <c r="I26" i="2"/>
  <c r="H26" i="2"/>
  <c r="L10" i="2"/>
  <c r="I10" i="2"/>
  <c r="H10" i="2"/>
  <c r="P39" i="2" l="1"/>
  <c r="R39" i="2" s="1"/>
  <c r="J12" i="2"/>
  <c r="K12" i="2" s="1"/>
  <c r="Q12" i="2" l="1"/>
  <c r="Q62" i="2" s="1"/>
  <c r="N12" i="2"/>
  <c r="O12" i="2"/>
  <c r="M12" i="2"/>
  <c r="P12" i="2" l="1"/>
  <c r="L29" i="2"/>
  <c r="I29" i="2"/>
  <c r="H29" i="2"/>
  <c r="L27" i="2"/>
  <c r="I27" i="2"/>
  <c r="H27" i="2"/>
  <c r="L25" i="2"/>
  <c r="I25" i="2"/>
  <c r="H25" i="2"/>
  <c r="L24" i="2"/>
  <c r="I24" i="2"/>
  <c r="H24" i="2"/>
  <c r="R12" i="2" l="1"/>
  <c r="P62" i="2"/>
  <c r="J24" i="2"/>
  <c r="J29" i="2"/>
  <c r="K29" i="2" s="1"/>
  <c r="N29" i="2" s="1"/>
  <c r="J27" i="2"/>
  <c r="K27" i="2" s="1"/>
  <c r="J25" i="2"/>
  <c r="K25" i="2" s="1"/>
  <c r="L37" i="2"/>
  <c r="L62" i="2" s="1"/>
  <c r="I37" i="2"/>
  <c r="H37" i="2"/>
  <c r="J11" i="2"/>
  <c r="J60" i="2"/>
  <c r="K60" i="2" s="1"/>
  <c r="R71" i="2" l="1"/>
  <c r="J37" i="2"/>
  <c r="K37" i="2" s="1"/>
  <c r="O37" i="2" s="1"/>
  <c r="M29" i="2"/>
  <c r="Q29" i="2"/>
  <c r="N27" i="2"/>
  <c r="M27" i="2"/>
  <c r="Q27" i="2"/>
  <c r="N25" i="2"/>
  <c r="Q25" i="2"/>
  <c r="M25" i="2"/>
  <c r="K11" i="2"/>
  <c r="J10" i="2"/>
  <c r="K10" i="2" s="1"/>
  <c r="Q37" i="2"/>
  <c r="N37" i="2"/>
  <c r="N60" i="2"/>
  <c r="O60" i="2"/>
  <c r="Q60" i="2"/>
  <c r="M60" i="2"/>
  <c r="H5" i="2"/>
  <c r="R74" i="2" l="1"/>
  <c r="R76" i="2" s="1"/>
  <c r="M37" i="2"/>
  <c r="P29" i="2"/>
  <c r="R29" i="2" s="1"/>
  <c r="P25" i="2"/>
  <c r="R25" i="2" s="1"/>
  <c r="P27" i="2"/>
  <c r="R27" i="2" s="1"/>
  <c r="N10" i="2"/>
  <c r="N11" i="2"/>
  <c r="O11" i="2"/>
  <c r="M11" i="2"/>
  <c r="Q11" i="2"/>
  <c r="Q10" i="2"/>
  <c r="O10" i="2"/>
  <c r="M10" i="2"/>
  <c r="P37" i="2"/>
  <c r="R37" i="2" s="1"/>
  <c r="P60" i="2"/>
  <c r="P10" i="2" l="1"/>
  <c r="R10" i="2" s="1"/>
  <c r="P11" i="2"/>
  <c r="R11" i="2" s="1"/>
  <c r="I28" i="2"/>
  <c r="H28" i="2"/>
  <c r="I46" i="2" l="1"/>
  <c r="I54" i="2"/>
  <c r="H54" i="2"/>
  <c r="J9" i="2"/>
  <c r="K9" i="2" s="1"/>
  <c r="J59" i="2"/>
  <c r="K59" i="2" s="1"/>
  <c r="H23" i="2"/>
  <c r="J23" i="2" s="1"/>
  <c r="K23" i="2" s="1"/>
  <c r="J54" i="2" l="1"/>
  <c r="K54" i="2" s="1"/>
  <c r="N54" i="2" s="1"/>
  <c r="M54" i="2"/>
  <c r="Q54" i="2"/>
  <c r="N9" i="2"/>
  <c r="Q9" i="2"/>
  <c r="M9" i="2"/>
  <c r="O9" i="2"/>
  <c r="N59" i="2"/>
  <c r="Q59" i="2"/>
  <c r="M59" i="2"/>
  <c r="N23" i="2"/>
  <c r="Q23" i="2"/>
  <c r="M23" i="2"/>
  <c r="O23" i="2"/>
  <c r="I62" i="2"/>
  <c r="P59" i="2" l="1"/>
  <c r="R59" i="2" s="1"/>
  <c r="P54" i="2"/>
  <c r="R54" i="2" s="1"/>
  <c r="P9" i="2"/>
  <c r="R9" i="2" s="1"/>
  <c r="P23" i="2"/>
  <c r="R23" i="2" s="1"/>
  <c r="J19" i="2"/>
  <c r="K19" i="2" s="1"/>
  <c r="Q19" i="2" s="1"/>
  <c r="J20" i="2"/>
  <c r="K20" i="2" s="1"/>
  <c r="J43" i="2"/>
  <c r="K43" i="2" s="1"/>
  <c r="N43" i="2" s="1"/>
  <c r="J44" i="2"/>
  <c r="K44" i="2" s="1"/>
  <c r="Q44" i="2" s="1"/>
  <c r="J45" i="2"/>
  <c r="K45" i="2" s="1"/>
  <c r="Q45" i="2" s="1"/>
  <c r="J61" i="2"/>
  <c r="K61" i="2" s="1"/>
  <c r="J62" i="2"/>
  <c r="K62" i="2" s="1"/>
  <c r="J63" i="2"/>
  <c r="K63" i="2" s="1"/>
  <c r="J4" i="2"/>
  <c r="K4" i="2" s="1"/>
  <c r="Q4" i="2" s="1"/>
  <c r="J21" i="2"/>
  <c r="K21" i="2" s="1"/>
  <c r="Q21" i="2" s="1"/>
  <c r="J22" i="2"/>
  <c r="K22" i="2" s="1"/>
  <c r="Q22" i="2" s="1"/>
  <c r="J46" i="2"/>
  <c r="K46" i="2" s="1"/>
  <c r="Q46" i="2" s="1"/>
  <c r="J47" i="2"/>
  <c r="K47" i="2" s="1"/>
  <c r="N47" i="2" s="1"/>
  <c r="J48" i="2"/>
  <c r="K48" i="2" s="1"/>
  <c r="Q48" i="2" s="1"/>
  <c r="J49" i="2"/>
  <c r="K49" i="2" s="1"/>
  <c r="Q49" i="2" s="1"/>
  <c r="J50" i="2"/>
  <c r="K50" i="2" s="1"/>
  <c r="J51" i="2"/>
  <c r="K51" i="2" s="1"/>
  <c r="N51" i="2" s="1"/>
  <c r="J52" i="2"/>
  <c r="K52" i="2" s="1"/>
  <c r="Q52" i="2" s="1"/>
  <c r="J53" i="2"/>
  <c r="K53" i="2" s="1"/>
  <c r="Q53" i="2" s="1"/>
  <c r="J64" i="2"/>
  <c r="K64" i="2" s="1"/>
  <c r="J65" i="2"/>
  <c r="K65" i="2" s="1"/>
  <c r="J6" i="2"/>
  <c r="K6" i="2" s="1"/>
  <c r="J28" i="2"/>
  <c r="K28" i="2" s="1"/>
  <c r="Q28" i="2" s="1"/>
  <c r="J30" i="2"/>
  <c r="K30" i="2" s="1"/>
  <c r="Q30" i="2" s="1"/>
  <c r="J55" i="2"/>
  <c r="K55" i="2" s="1"/>
  <c r="N55" i="2" s="1"/>
  <c r="J7" i="2"/>
  <c r="K7" i="2" s="1"/>
  <c r="Q7" i="2" s="1"/>
  <c r="J8" i="2"/>
  <c r="K8" i="2" s="1"/>
  <c r="Q8" i="2" s="1"/>
  <c r="J31" i="2"/>
  <c r="K31" i="2" s="1"/>
  <c r="Q31" i="2" s="1"/>
  <c r="J32" i="2"/>
  <c r="K32" i="2" s="1"/>
  <c r="N32" i="2" s="1"/>
  <c r="J33" i="2"/>
  <c r="K33" i="2" s="1"/>
  <c r="Q33" i="2" s="1"/>
  <c r="J34" i="2"/>
  <c r="K34" i="2" s="1"/>
  <c r="O34" i="2" s="1"/>
  <c r="J35" i="2"/>
  <c r="K35" i="2" s="1"/>
  <c r="Q35" i="2" s="1"/>
  <c r="J36" i="2"/>
  <c r="K36" i="2" s="1"/>
  <c r="N36" i="2" s="1"/>
  <c r="J56" i="2"/>
  <c r="K56" i="2" s="1"/>
  <c r="Q56" i="2" s="1"/>
  <c r="J57" i="2"/>
  <c r="K57" i="2" s="1"/>
  <c r="Q57" i="2" s="1"/>
  <c r="J58" i="2"/>
  <c r="K58" i="2" s="1"/>
  <c r="Q58" i="2" s="1"/>
  <c r="J3" i="2"/>
  <c r="K3" i="2" s="1"/>
  <c r="N3" i="2" s="1"/>
  <c r="N6" i="2" l="1"/>
  <c r="O6" i="2"/>
  <c r="M3" i="2"/>
  <c r="O3" i="2"/>
  <c r="Q34" i="2"/>
  <c r="Q50" i="2"/>
  <c r="O20" i="2"/>
  <c r="Q20" i="2"/>
  <c r="M47" i="2"/>
  <c r="Q3" i="2"/>
  <c r="Q36" i="2"/>
  <c r="Q32" i="2"/>
  <c r="Q55" i="2"/>
  <c r="Q6" i="2"/>
  <c r="Q51" i="2"/>
  <c r="Q47" i="2"/>
  <c r="Q43" i="2"/>
  <c r="M55" i="2"/>
  <c r="O4" i="2"/>
  <c r="N4" i="2"/>
  <c r="N50" i="2"/>
  <c r="M36" i="2"/>
  <c r="M6" i="2"/>
  <c r="M43" i="2"/>
  <c r="N20" i="2"/>
  <c r="M32" i="2"/>
  <c r="M51" i="2"/>
  <c r="M56" i="2"/>
  <c r="O56" i="2"/>
  <c r="N56" i="2"/>
  <c r="M33" i="2"/>
  <c r="N33" i="2"/>
  <c r="O33" i="2"/>
  <c r="M7" i="2"/>
  <c r="O7" i="2"/>
  <c r="N7" i="2"/>
  <c r="M28" i="2"/>
  <c r="N28" i="2"/>
  <c r="O52" i="2"/>
  <c r="M52" i="2"/>
  <c r="N52" i="2"/>
  <c r="M48" i="2"/>
  <c r="N48" i="2"/>
  <c r="M21" i="2"/>
  <c r="N21" i="2"/>
  <c r="O21" i="2"/>
  <c r="M44" i="2"/>
  <c r="N44" i="2"/>
  <c r="O44" i="2"/>
  <c r="M19" i="2"/>
  <c r="N19" i="2"/>
  <c r="O19" i="2"/>
  <c r="N30" i="2"/>
  <c r="M30" i="2"/>
  <c r="N22" i="2"/>
  <c r="M22" i="2"/>
  <c r="O22" i="2"/>
  <c r="N58" i="2"/>
  <c r="O58" i="2"/>
  <c r="M58" i="2"/>
  <c r="O31" i="2"/>
  <c r="M31" i="2"/>
  <c r="N31" i="2"/>
  <c r="N46" i="2"/>
  <c r="M46" i="2"/>
  <c r="O35" i="2"/>
  <c r="M35" i="2"/>
  <c r="N35" i="2"/>
  <c r="M53" i="2"/>
  <c r="N53" i="2"/>
  <c r="N45" i="2"/>
  <c r="M45" i="2"/>
  <c r="O45" i="2"/>
  <c r="O57" i="2"/>
  <c r="M57" i="2"/>
  <c r="N57" i="2"/>
  <c r="O8" i="2"/>
  <c r="N8" i="2"/>
  <c r="M8" i="2"/>
  <c r="N49" i="2"/>
  <c r="M49" i="2"/>
  <c r="M4" i="2"/>
  <c r="O36" i="2"/>
  <c r="O32" i="2"/>
  <c r="M34" i="2"/>
  <c r="O43" i="2"/>
  <c r="M50" i="2"/>
  <c r="M20" i="2"/>
  <c r="O55" i="2"/>
  <c r="N34" i="2"/>
  <c r="H18" i="2"/>
  <c r="P3" i="2" l="1"/>
  <c r="R3" i="2" s="1"/>
  <c r="P6" i="2"/>
  <c r="R6" i="2" s="1"/>
  <c r="P8" i="2"/>
  <c r="R8" i="2" s="1"/>
  <c r="P51" i="2"/>
  <c r="R51" i="2" s="1"/>
  <c r="P43" i="2"/>
  <c r="R43" i="2" s="1"/>
  <c r="P47" i="2"/>
  <c r="R47" i="2" s="1"/>
  <c r="P45" i="2"/>
  <c r="R45" i="2" s="1"/>
  <c r="P53" i="2"/>
  <c r="R53" i="2" s="1"/>
  <c r="P46" i="2"/>
  <c r="R46" i="2" s="1"/>
  <c r="P31" i="2"/>
  <c r="R31" i="2" s="1"/>
  <c r="P19" i="2"/>
  <c r="R19" i="2" s="1"/>
  <c r="P48" i="2"/>
  <c r="R48" i="2" s="1"/>
  <c r="P56" i="2"/>
  <c r="R56" i="2" s="1"/>
  <c r="P20" i="2"/>
  <c r="R20" i="2" s="1"/>
  <c r="P57" i="2"/>
  <c r="R57" i="2" s="1"/>
  <c r="P22" i="2"/>
  <c r="R22" i="2" s="1"/>
  <c r="P33" i="2"/>
  <c r="R33" i="2" s="1"/>
  <c r="P50" i="2"/>
  <c r="R50" i="2" s="1"/>
  <c r="P4" i="2"/>
  <c r="R4" i="2" s="1"/>
  <c r="P49" i="2"/>
  <c r="R49" i="2" s="1"/>
  <c r="P35" i="2"/>
  <c r="R35" i="2" s="1"/>
  <c r="P58" i="2"/>
  <c r="R58" i="2" s="1"/>
  <c r="P21" i="2"/>
  <c r="R21" i="2" s="1"/>
  <c r="P7" i="2"/>
  <c r="R7" i="2" s="1"/>
  <c r="P32" i="2"/>
  <c r="R32" i="2" s="1"/>
  <c r="P34" i="2"/>
  <c r="R34" i="2" s="1"/>
  <c r="P30" i="2"/>
  <c r="R30" i="2" s="1"/>
  <c r="P44" i="2"/>
  <c r="R44" i="2" s="1"/>
  <c r="P52" i="2"/>
  <c r="R52" i="2" s="1"/>
  <c r="P28" i="2"/>
  <c r="R28" i="2" s="1"/>
  <c r="P36" i="2"/>
  <c r="R36" i="2" s="1"/>
  <c r="P55" i="2"/>
  <c r="R55" i="2" s="1"/>
  <c r="J26" i="2"/>
  <c r="K26" i="2" s="1"/>
  <c r="Q26" i="2" s="1"/>
  <c r="J5" i="2"/>
  <c r="K5" i="2" s="1"/>
  <c r="Q5" i="2" s="1"/>
  <c r="J18" i="2"/>
  <c r="K18" i="2" s="1"/>
  <c r="Q18" i="2" s="1"/>
  <c r="K24" i="2" l="1"/>
  <c r="M26" i="2"/>
  <c r="N26" i="2"/>
  <c r="N18" i="2"/>
  <c r="O18" i="2"/>
  <c r="M18" i="2"/>
  <c r="M5" i="2"/>
  <c r="N5" i="2"/>
  <c r="Q24" i="2" l="1"/>
  <c r="N24" i="2"/>
  <c r="M24" i="2"/>
  <c r="P5" i="2"/>
  <c r="R5" i="2" s="1"/>
  <c r="P26" i="2"/>
  <c r="R26" i="2" s="1"/>
  <c r="P18" i="2"/>
  <c r="R18" i="2" s="1"/>
  <c r="P24" i="2" l="1"/>
  <c r="R24" i="2" s="1"/>
</calcChain>
</file>

<file path=xl/sharedStrings.xml><?xml version="1.0" encoding="utf-8"?>
<sst xmlns="http://schemas.openxmlformats.org/spreadsheetml/2006/main" count="225" uniqueCount="112">
  <si>
    <t>matr.</t>
  </si>
  <si>
    <t>dipendente</t>
  </si>
  <si>
    <t>pos.economica</t>
  </si>
  <si>
    <t>area</t>
  </si>
  <si>
    <t>% p.t.</t>
  </si>
  <si>
    <t>AMOROSO-ANNA</t>
  </si>
  <si>
    <t>17-EX-B5</t>
  </si>
  <si>
    <t>OPERATORI ESPERTI</t>
  </si>
  <si>
    <t>BIANCO-BENIAMINO</t>
  </si>
  <si>
    <t>20-EX-B8</t>
  </si>
  <si>
    <t>BONANNI-GIOVANNI</t>
  </si>
  <si>
    <t>11-EX-B5-PEO</t>
  </si>
  <si>
    <t>CARAMANICO-FIORELLA</t>
  </si>
  <si>
    <t>25-EX-C5</t>
  </si>
  <si>
    <t>ISTRUTTORI</t>
  </si>
  <si>
    <t>CAROSELLA-VALERIO</t>
  </si>
  <si>
    <t>CARUSI-DANIELE</t>
  </si>
  <si>
    <t>22-EX-C2</t>
  </si>
  <si>
    <t>CATINI-GIANNI</t>
  </si>
  <si>
    <t>10-EX-B4-PEO</t>
  </si>
  <si>
    <t>CIRILLO-LOLITA</t>
  </si>
  <si>
    <t>24-EX-C4</t>
  </si>
  <si>
    <t>COLAGRECO-GIOVANNI</t>
  </si>
  <si>
    <t>27-EX-D1</t>
  </si>
  <si>
    <t>COSTANTINI-ROBERTO</t>
  </si>
  <si>
    <t>CRISTINI-ARCANGELO</t>
  </si>
  <si>
    <t>21-EX-C1</t>
  </si>
  <si>
    <t>DE LUCA-MATTEO CAMILLO</t>
  </si>
  <si>
    <t>DE LUCIA-ANNAMARIA</t>
  </si>
  <si>
    <t>37-EX-D6</t>
  </si>
  <si>
    <t>DI CRESCENZO-LUCIA</t>
  </si>
  <si>
    <t>7-EX-B1</t>
  </si>
  <si>
    <t>DI MARTINO-ANGELINA</t>
  </si>
  <si>
    <t>DURASTANTE-ROBERTA</t>
  </si>
  <si>
    <t>FABRIZIO-LORENZA</t>
  </si>
  <si>
    <t>23-EX-C3</t>
  </si>
  <si>
    <t>FATA-DOMENICO</t>
  </si>
  <si>
    <t>VALERIO-VALERIA GIACINTA</t>
  </si>
  <si>
    <t>GIANNI-MARCELLA</t>
  </si>
  <si>
    <t>28-EX-D2</t>
  </si>
  <si>
    <t>IUBATTI-GIANNI</t>
  </si>
  <si>
    <t>9-EX-B3-PEO</t>
  </si>
  <si>
    <t>LIBERATOSCIOLI-MARCO</t>
  </si>
  <si>
    <t>MANZI-CARMINE</t>
  </si>
  <si>
    <t>ORLANDO-EUGENE NICOLAS</t>
  </si>
  <si>
    <t>PISCIONE-ALESSANDRO</t>
  </si>
  <si>
    <t>PASQUALE-FRANCO</t>
  </si>
  <si>
    <t>RANIERI-ROCCO</t>
  </si>
  <si>
    <t>RANIERI-SANDRA</t>
  </si>
  <si>
    <t>SALOMONE-AGNESE</t>
  </si>
  <si>
    <t>SANTOLERI-LUIGI</t>
  </si>
  <si>
    <t>SCIOLI-LUIGI</t>
  </si>
  <si>
    <t>13-EX-B7-PEO</t>
  </si>
  <si>
    <t>SCOGNA-STEFANIA</t>
  </si>
  <si>
    <t>TARABORRELLI-ALESSANDRO</t>
  </si>
  <si>
    <t>8-EX-B2</t>
  </si>
  <si>
    <t>TARABORRELLI-MARISA</t>
  </si>
  <si>
    <t>TONIN-SONIA</t>
  </si>
  <si>
    <t>VOSOLO-TONINO</t>
  </si>
  <si>
    <t>sett</t>
  </si>
  <si>
    <t>13^</t>
  </si>
  <si>
    <t>TOTALE</t>
  </si>
  <si>
    <t>CPDEL</t>
  </si>
  <si>
    <t>INADEL</t>
  </si>
  <si>
    <t xml:space="preserve">STIPENDIO TABELLARE INIZIALE </t>
  </si>
  <si>
    <t>COMPARTO</t>
  </si>
  <si>
    <t>IVC</t>
  </si>
  <si>
    <t>INAIL</t>
  </si>
  <si>
    <t>TOTALE ONERI</t>
  </si>
  <si>
    <t>IRAP</t>
  </si>
  <si>
    <t>TOTALE GENERALE</t>
  </si>
  <si>
    <t>12-EX-B6-PEO + 1 DIFF</t>
  </si>
  <si>
    <t>21-EX-C1 + 1 DIFF</t>
  </si>
  <si>
    <t>7-EX-B1 + 1 DIFF</t>
  </si>
  <si>
    <t>25-EX-C5 + 1 DIFF</t>
  </si>
  <si>
    <t>SFORZA ANNALISA</t>
  </si>
  <si>
    <t>SOZIO CHIARA</t>
  </si>
  <si>
    <t>ORTOLANO CHIARA</t>
  </si>
  <si>
    <t>GIANGIULIO ANTONELLA LUCIA</t>
  </si>
  <si>
    <t xml:space="preserve">TOTALE COSTO POSTI COPERTI DOTAZIONE ORGANICA ATTUALE X PROFILO </t>
  </si>
  <si>
    <t>VACANTE</t>
  </si>
  <si>
    <t xml:space="preserve">FUNZIONARI ED E.Q. </t>
  </si>
  <si>
    <t>FUNZ. TECNICO</t>
  </si>
  <si>
    <t>FUNZ DI VIGILANZA</t>
  </si>
  <si>
    <t>FUNZ. AMM.VO</t>
  </si>
  <si>
    <t>FUNZ SOCIO EDUCATIVO CULT</t>
  </si>
  <si>
    <t>ISTRUTTORE CONTABILE</t>
  </si>
  <si>
    <t>ISTRUTTORE TECNICO</t>
  </si>
  <si>
    <t>ISTRUTORE DI VIGILANZA</t>
  </si>
  <si>
    <t>ISTRUTTORE AMM.VO</t>
  </si>
  <si>
    <t>ISTRUTTORE AMM.VO CONTAB</t>
  </si>
  <si>
    <t>ISTR. SOCIO EDUCATIVO</t>
  </si>
  <si>
    <t>COLLABORATORE  AMM.VO</t>
  </si>
  <si>
    <t>LIMITE COSTO DOTAZINE ORGANICA ANNO 2022</t>
  </si>
  <si>
    <t>FUNZ AMM.VO CONTABILE</t>
  </si>
  <si>
    <t>41-OPERATORI ESPERT - B1</t>
  </si>
  <si>
    <t>41-OPERATORI ESPERTI - B1</t>
  </si>
  <si>
    <t>ISTRUTTORE AMM. CONTABILE</t>
  </si>
  <si>
    <t>COLLABORATORE TECNICO</t>
  </si>
  <si>
    <t>VACANTE**</t>
  </si>
  <si>
    <t>FUNZ. ESPERTO RENDICONTAZIONE</t>
  </si>
  <si>
    <t xml:space="preserve">** IMPORTO NON RICOMPRESO NEL TOTALE DEL COSTO DELLA DOTAZIONE ORGANICA IN QUANTO ETEROFINANZIATO CON L'UTILIZZO DELLE RISORSE PN Inclusione e lotta alla povertà 2021-2027         
</t>
  </si>
  <si>
    <t>ISTRUTORE DI VIGILANZA -RISERVA A FAVORE FORZE ARMATE</t>
  </si>
  <si>
    <t>FIORENTINO ALESSANDRO</t>
  </si>
  <si>
    <t>MASCIANTONIO CLAUDIA</t>
  </si>
  <si>
    <t>36-EX-D1</t>
  </si>
  <si>
    <t>VACANTE DAL 1.05.2026</t>
  </si>
  <si>
    <t>DAL 1/01/2026</t>
  </si>
  <si>
    <t>VACANTE * PROVENTI ART 208 CDS</t>
  </si>
  <si>
    <t>COSTO ASSUNZIONI A TEMPO DETERMINATO ETEROFINANZIATE</t>
  </si>
  <si>
    <t>VALORE AUMENTI CONTRATTUALI CCNL 16.11.2022</t>
  </si>
  <si>
    <t>VALORE DOTAZIONE ORGANICA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</si>
</sst>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8"/>
      <color theme="1"/>
      <name val="Times New Roman"/>
      <family val="1"/>
    </font>
    <font>
      <b/>
      <sz val="11"/>
      <color rgb="FF305E9A"/>
      <name val="Times New Roman"/>
      <family val="1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305E9A"/>
      </left>
      <right/>
      <top style="thin">
        <color rgb="FF305E9A"/>
      </top>
      <bottom style="thin">
        <color rgb="FF305E9A"/>
      </bottom>
      <diagonal/>
    </border>
    <border>
      <left/>
      <right/>
      <top style="thin">
        <color rgb="FF305E9A"/>
      </top>
      <bottom style="thin">
        <color rgb="FF305E9A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/>
      <diagonal/>
    </border>
    <border>
      <left style="thin">
        <color rgb="FF305E9A"/>
      </left>
      <right style="thin">
        <color rgb="FF305E9A"/>
      </right>
      <top/>
      <bottom style="thin">
        <color rgb="FF305E9A"/>
      </bottom>
      <diagonal/>
    </border>
    <border>
      <left style="double">
        <color rgb="FF305E9A"/>
      </left>
      <right style="thin">
        <color rgb="FF305E9A"/>
      </right>
      <top style="double">
        <color rgb="FF305E9A"/>
      </top>
      <bottom style="thin">
        <color rgb="FF305E9A"/>
      </bottom>
      <diagonal/>
    </border>
    <border>
      <left style="thin">
        <color rgb="FF305E9A"/>
      </left>
      <right style="thin">
        <color rgb="FF305E9A"/>
      </right>
      <top style="double">
        <color rgb="FF305E9A"/>
      </top>
      <bottom style="thin">
        <color rgb="FF305E9A"/>
      </bottom>
      <diagonal/>
    </border>
    <border>
      <left style="double">
        <color rgb="FF305E9A"/>
      </left>
      <right/>
      <top style="thin">
        <color rgb="FF305E9A"/>
      </top>
      <bottom style="double">
        <color rgb="FF305E9A"/>
      </bottom>
      <diagonal/>
    </border>
    <border>
      <left/>
      <right/>
      <top style="thin">
        <color rgb="FF305E9A"/>
      </top>
      <bottom style="double">
        <color rgb="FF305E9A"/>
      </bottom>
      <diagonal/>
    </border>
    <border>
      <left style="thin">
        <color rgb="FF305E9A"/>
      </left>
      <right/>
      <top style="double">
        <color rgb="FF305E9A"/>
      </top>
      <bottom style="thin">
        <color rgb="FF305E9A"/>
      </bottom>
      <diagonal/>
    </border>
    <border>
      <left style="thin">
        <color rgb="FF305E9A"/>
      </left>
      <right style="double">
        <color rgb="FF305E9A"/>
      </right>
      <top style="double">
        <color rgb="FF305E9A"/>
      </top>
      <bottom/>
      <diagonal/>
    </border>
    <border>
      <left style="thin">
        <color rgb="FF305E9A"/>
      </left>
      <right style="double">
        <color rgb="FF305E9A"/>
      </right>
      <top/>
      <bottom style="double">
        <color rgb="FF305E9A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0" fontId="19" fillId="0" borderId="11" xfId="0" applyFont="1" applyBorder="1"/>
    <xf numFmtId="0" fontId="19" fillId="0" borderId="13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3" fontId="18" fillId="0" borderId="0" xfId="42" applyFont="1"/>
    <xf numFmtId="43" fontId="19" fillId="0" borderId="11" xfId="42" applyFont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right"/>
    </xf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43" fontId="20" fillId="0" borderId="11" xfId="42" applyFont="1" applyBorder="1"/>
    <xf numFmtId="43" fontId="20" fillId="0" borderId="11" xfId="0" applyNumberFormat="1" applyFont="1" applyBorder="1"/>
    <xf numFmtId="0" fontId="20" fillId="34" borderId="11" xfId="0" applyFont="1" applyFill="1" applyBorder="1"/>
    <xf numFmtId="0" fontId="21" fillId="33" borderId="14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43" fontId="21" fillId="33" borderId="10" xfId="42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10" xfId="0" applyFont="1" applyBorder="1" applyAlignment="1">
      <alignment horizontal="right"/>
    </xf>
    <xf numFmtId="21" fontId="23" fillId="0" borderId="10" xfId="0" applyNumberFormat="1" applyFont="1" applyBorder="1" applyAlignment="1">
      <alignment horizontal="left"/>
    </xf>
    <xf numFmtId="0" fontId="22" fillId="0" borderId="0" xfId="0" applyFont="1"/>
    <xf numFmtId="43" fontId="22" fillId="0" borderId="0" xfId="42" applyFont="1"/>
    <xf numFmtId="43" fontId="24" fillId="0" borderId="11" xfId="0" applyNumberFormat="1" applyFont="1" applyBorder="1"/>
    <xf numFmtId="43" fontId="24" fillId="0" borderId="11" xfId="0" applyNumberFormat="1" applyFont="1" applyBorder="1" applyAlignment="1"/>
    <xf numFmtId="0" fontId="22" fillId="0" borderId="11" xfId="0" applyFont="1" applyBorder="1"/>
    <xf numFmtId="0" fontId="20" fillId="0" borderId="16" xfId="0" applyFont="1" applyBorder="1" applyAlignment="1">
      <alignment horizontal="right"/>
    </xf>
    <xf numFmtId="0" fontId="20" fillId="34" borderId="17" xfId="0" applyFont="1" applyFill="1" applyBorder="1"/>
    <xf numFmtId="0" fontId="20" fillId="0" borderId="17" xfId="0" applyFont="1" applyBorder="1"/>
    <xf numFmtId="0" fontId="20" fillId="0" borderId="17" xfId="0" applyFont="1" applyBorder="1" applyAlignment="1">
      <alignment horizontal="center"/>
    </xf>
    <xf numFmtId="43" fontId="20" fillId="0" borderId="17" xfId="42" applyFont="1" applyBorder="1"/>
    <xf numFmtId="43" fontId="20" fillId="0" borderId="17" xfId="0" applyNumberFormat="1" applyFont="1" applyBorder="1"/>
    <xf numFmtId="0" fontId="20" fillId="0" borderId="18" xfId="0" applyFont="1" applyBorder="1"/>
    <xf numFmtId="0" fontId="20" fillId="0" borderId="18" xfId="0" applyFont="1" applyBorder="1" applyAlignment="1">
      <alignment horizontal="center"/>
    </xf>
    <xf numFmtId="43" fontId="20" fillId="0" borderId="18" xfId="42" applyFont="1" applyBorder="1"/>
    <xf numFmtId="43" fontId="20" fillId="0" borderId="18" xfId="0" applyNumberFormat="1" applyFont="1" applyBorder="1"/>
    <xf numFmtId="0" fontId="20" fillId="34" borderId="19" xfId="0" applyFont="1" applyFill="1" applyBorder="1"/>
    <xf numFmtId="0" fontId="20" fillId="0" borderId="20" xfId="0" applyFont="1" applyBorder="1"/>
    <xf numFmtId="0" fontId="20" fillId="0" borderId="20" xfId="0" applyFont="1" applyBorder="1" applyAlignment="1">
      <alignment horizontal="center"/>
    </xf>
    <xf numFmtId="43" fontId="20" fillId="0" borderId="20" xfId="42" applyFont="1" applyBorder="1"/>
    <xf numFmtId="43" fontId="20" fillId="0" borderId="20" xfId="0" applyNumberFormat="1" applyFont="1" applyBorder="1"/>
    <xf numFmtId="43" fontId="24" fillId="0" borderId="23" xfId="0" applyNumberFormat="1" applyFont="1" applyBorder="1"/>
    <xf numFmtId="0" fontId="0" fillId="34" borderId="22" xfId="0" applyFill="1" applyBorder="1" applyAlignment="1">
      <alignment horizontal="left"/>
    </xf>
    <xf numFmtId="43" fontId="20" fillId="0" borderId="11" xfId="0" applyNumberFormat="1" applyFont="1" applyBorder="1" applyAlignment="1">
      <alignment horizontal="center"/>
    </xf>
    <xf numFmtId="0" fontId="20" fillId="0" borderId="15" xfId="0" applyFont="1" applyBorder="1"/>
    <xf numFmtId="0" fontId="20" fillId="0" borderId="16" xfId="0" applyFont="1" applyBorder="1"/>
    <xf numFmtId="0" fontId="20" fillId="0" borderId="13" xfId="0" applyFont="1" applyBorder="1"/>
    <xf numFmtId="43" fontId="20" fillId="0" borderId="11" xfId="0" applyNumberFormat="1" applyFont="1" applyBorder="1" applyAlignment="1"/>
    <xf numFmtId="43" fontId="24" fillId="0" borderId="11" xfId="42" applyFont="1" applyBorder="1"/>
    <xf numFmtId="0" fontId="24" fillId="0" borderId="15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0" fillId="34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4" borderId="21" xfId="0" applyFont="1" applyFill="1" applyBorder="1" applyAlignment="1">
      <alignment horizontal="left" wrapText="1"/>
    </xf>
    <xf numFmtId="0" fontId="0" fillId="0" borderId="22" xfId="0" applyBorder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showGridLines="0" tabSelected="1" topLeftCell="D48" workbookViewId="0">
      <selection activeCell="S36" sqref="S36"/>
    </sheetView>
  </sheetViews>
  <sheetFormatPr defaultRowHeight="11.25" x14ac:dyDescent="0.2"/>
  <cols>
    <col min="1" max="1" width="8" style="4" customWidth="1"/>
    <col min="2" max="2" width="8.7109375" style="1" customWidth="1"/>
    <col min="3" max="3" width="37.7109375" style="1" customWidth="1"/>
    <col min="4" max="4" width="18.140625" style="1" customWidth="1"/>
    <col min="5" max="5" width="27.5703125" style="1" customWidth="1"/>
    <col min="6" max="6" width="36.28515625" style="1" customWidth="1"/>
    <col min="7" max="7" width="8.7109375" style="4" customWidth="1"/>
    <col min="8" max="8" width="15.85546875" style="7" customWidth="1"/>
    <col min="9" max="9" width="15.7109375" style="7" customWidth="1"/>
    <col min="10" max="10" width="13.28515625" style="1" customWidth="1"/>
    <col min="11" max="11" width="17.42578125" style="1" customWidth="1"/>
    <col min="12" max="12" width="14.140625" style="1" customWidth="1"/>
    <col min="13" max="13" width="10.7109375" style="1" customWidth="1"/>
    <col min="14" max="14" width="11.42578125" style="1" customWidth="1"/>
    <col min="15" max="15" width="13" style="1" customWidth="1"/>
    <col min="16" max="17" width="14.85546875" style="1" customWidth="1"/>
    <col min="18" max="18" width="15.85546875" style="1" customWidth="1"/>
    <col min="19" max="19" width="50.5703125" style="1" customWidth="1"/>
    <col min="20" max="16384" width="9.140625" style="1"/>
  </cols>
  <sheetData>
    <row r="1" spans="1:19" ht="14.25" x14ac:dyDescent="0.2">
      <c r="A1" s="20"/>
      <c r="B1" s="21"/>
      <c r="C1" s="22"/>
      <c r="D1" s="23"/>
      <c r="E1" s="23"/>
      <c r="F1" s="23"/>
      <c r="G1" s="20"/>
      <c r="H1" s="24"/>
      <c r="I1" s="24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42.75" x14ac:dyDescent="0.2">
      <c r="A2" s="16" t="s">
        <v>59</v>
      </c>
      <c r="B2" s="17" t="s">
        <v>0</v>
      </c>
      <c r="C2" s="17" t="s">
        <v>1</v>
      </c>
      <c r="D2" s="17" t="s">
        <v>2</v>
      </c>
      <c r="E2" s="17" t="s">
        <v>3</v>
      </c>
      <c r="F2" s="17"/>
      <c r="G2" s="17" t="s">
        <v>4</v>
      </c>
      <c r="H2" s="18" t="s">
        <v>64</v>
      </c>
      <c r="I2" s="18" t="s">
        <v>66</v>
      </c>
      <c r="J2" s="17" t="s">
        <v>60</v>
      </c>
      <c r="K2" s="17" t="s">
        <v>61</v>
      </c>
      <c r="L2" s="17" t="s">
        <v>65</v>
      </c>
      <c r="M2" s="17" t="s">
        <v>62</v>
      </c>
      <c r="N2" s="17" t="s">
        <v>63</v>
      </c>
      <c r="O2" s="17" t="s">
        <v>67</v>
      </c>
      <c r="P2" s="19" t="s">
        <v>68</v>
      </c>
      <c r="Q2" s="17" t="s">
        <v>69</v>
      </c>
      <c r="R2" s="19" t="s">
        <v>70</v>
      </c>
      <c r="S2" s="17"/>
    </row>
    <row r="3" spans="1:19" ht="15" x14ac:dyDescent="0.25">
      <c r="A3" s="9">
        <v>1</v>
      </c>
      <c r="B3" s="10">
        <v>503</v>
      </c>
      <c r="C3" s="11" t="s">
        <v>47</v>
      </c>
      <c r="D3" s="11" t="s">
        <v>23</v>
      </c>
      <c r="E3" s="11" t="s">
        <v>81</v>
      </c>
      <c r="F3" s="11" t="s">
        <v>94</v>
      </c>
      <c r="G3" s="12">
        <v>0</v>
      </c>
      <c r="H3" s="13">
        <v>23212.35</v>
      </c>
      <c r="I3" s="13">
        <v>893.52</v>
      </c>
      <c r="J3" s="14">
        <f>(H3+I3)/12</f>
        <v>2008.8225</v>
      </c>
      <c r="K3" s="14">
        <f>SUM(H3:J3)</f>
        <v>26114.692499999997</v>
      </c>
      <c r="L3" s="14">
        <v>622.79999999999995</v>
      </c>
      <c r="M3" s="14">
        <f>(K3+L3)*23.8%</f>
        <v>6363.5232149999993</v>
      </c>
      <c r="N3" s="14">
        <f>K3*2.88%</f>
        <v>752.10314399999993</v>
      </c>
      <c r="O3" s="14">
        <f>(K3+L3)*5/1000</f>
        <v>133.68746249999998</v>
      </c>
      <c r="P3" s="14">
        <f>M3+N3+O3</f>
        <v>7249.313821499999</v>
      </c>
      <c r="Q3" s="14">
        <f>(K3+L3)*8.5%</f>
        <v>2272.6868624999997</v>
      </c>
      <c r="R3" s="14">
        <f>K3+L3+P3+Q3</f>
        <v>36259.493183999992</v>
      </c>
      <c r="S3" s="14"/>
    </row>
    <row r="4" spans="1:19" ht="15" x14ac:dyDescent="0.25">
      <c r="A4" s="9">
        <v>2</v>
      </c>
      <c r="B4" s="10">
        <v>195</v>
      </c>
      <c r="C4" s="11" t="s">
        <v>25</v>
      </c>
      <c r="D4" s="11" t="s">
        <v>23</v>
      </c>
      <c r="E4" s="11" t="s">
        <v>81</v>
      </c>
      <c r="F4" s="11" t="s">
        <v>82</v>
      </c>
      <c r="G4" s="12">
        <v>0</v>
      </c>
      <c r="H4" s="13">
        <v>23212.35</v>
      </c>
      <c r="I4" s="13">
        <v>893.52</v>
      </c>
      <c r="J4" s="14">
        <f>(H4+I4)/12</f>
        <v>2008.8225</v>
      </c>
      <c r="K4" s="14">
        <f>SUM(H4:J4)</f>
        <v>26114.692499999997</v>
      </c>
      <c r="L4" s="14">
        <v>622.79999999999995</v>
      </c>
      <c r="M4" s="14">
        <f>(K4+L4)*23.8%</f>
        <v>6363.5232149999993</v>
      </c>
      <c r="N4" s="14">
        <f>K4*2.88%</f>
        <v>752.10314399999993</v>
      </c>
      <c r="O4" s="14">
        <f>(K4+L4)*5/1000</f>
        <v>133.68746249999998</v>
      </c>
      <c r="P4" s="14">
        <f>M4+N4+O4</f>
        <v>7249.313821499999</v>
      </c>
      <c r="Q4" s="14">
        <f>(K4+L4)*8.5%</f>
        <v>2272.6868624999997</v>
      </c>
      <c r="R4" s="14">
        <f>K4+L4+P4+Q4</f>
        <v>36259.493183999992</v>
      </c>
      <c r="S4" s="14"/>
    </row>
    <row r="5" spans="1:19" ht="15" x14ac:dyDescent="0.25">
      <c r="A5" s="9">
        <v>3</v>
      </c>
      <c r="B5" s="10">
        <v>135</v>
      </c>
      <c r="C5" s="11" t="s">
        <v>22</v>
      </c>
      <c r="D5" s="11" t="s">
        <v>23</v>
      </c>
      <c r="E5" s="11" t="s">
        <v>81</v>
      </c>
      <c r="F5" s="11" t="s">
        <v>83</v>
      </c>
      <c r="G5" s="12">
        <v>0</v>
      </c>
      <c r="H5" s="13">
        <f>23212.35</f>
        <v>23212.35</v>
      </c>
      <c r="I5" s="13">
        <v>893.52</v>
      </c>
      <c r="J5" s="14">
        <f t="shared" ref="J5:J65" si="0">(H5+I5)/12</f>
        <v>2008.8225</v>
      </c>
      <c r="K5" s="14">
        <f t="shared" ref="K5:K65" si="1">SUM(H5:J5)</f>
        <v>26114.692499999997</v>
      </c>
      <c r="L5" s="14">
        <v>622.79999999999995</v>
      </c>
      <c r="M5" s="14">
        <f t="shared" ref="M5:M59" si="2">(K5+L5)*23.8%</f>
        <v>6363.5232149999993</v>
      </c>
      <c r="N5" s="14">
        <f t="shared" ref="N5:N59" si="3">K5*2.88%</f>
        <v>752.10314399999993</v>
      </c>
      <c r="O5" s="14">
        <f>(K5+L5)*8.25/1000</f>
        <v>220.58431312499999</v>
      </c>
      <c r="P5" s="14">
        <f t="shared" ref="P5:P59" si="4">M5+N5+O5</f>
        <v>7336.2106721249993</v>
      </c>
      <c r="Q5" s="14">
        <f t="shared" ref="Q5:Q59" si="5">(K5+L5)*8.5%</f>
        <v>2272.6868624999997</v>
      </c>
      <c r="R5" s="14">
        <f t="shared" ref="R5:R59" si="6">K5+L5+P5+Q5</f>
        <v>36346.390034624994</v>
      </c>
      <c r="S5" s="14"/>
    </row>
    <row r="6" spans="1:19" ht="15" x14ac:dyDescent="0.25">
      <c r="A6" s="9">
        <v>3</v>
      </c>
      <c r="B6" s="10"/>
      <c r="C6" s="15" t="s">
        <v>80</v>
      </c>
      <c r="D6" s="11" t="s">
        <v>105</v>
      </c>
      <c r="E6" s="11" t="s">
        <v>81</v>
      </c>
      <c r="F6" s="11" t="s">
        <v>83</v>
      </c>
      <c r="G6" s="12">
        <v>0</v>
      </c>
      <c r="H6" s="13">
        <v>23212.35</v>
      </c>
      <c r="I6" s="13">
        <f>I5</f>
        <v>893.52</v>
      </c>
      <c r="J6" s="14">
        <f t="shared" si="0"/>
        <v>2008.8225</v>
      </c>
      <c r="K6" s="14">
        <f t="shared" si="1"/>
        <v>26114.692499999997</v>
      </c>
      <c r="L6" s="14">
        <v>622.79999999999995</v>
      </c>
      <c r="M6" s="14">
        <f t="shared" si="2"/>
        <v>6363.5232149999993</v>
      </c>
      <c r="N6" s="14">
        <f t="shared" si="3"/>
        <v>752.10314399999993</v>
      </c>
      <c r="O6" s="14">
        <f>(K6+L6)*8.25/1000</f>
        <v>220.58431312499999</v>
      </c>
      <c r="P6" s="14">
        <f t="shared" si="4"/>
        <v>7336.2106721249993</v>
      </c>
      <c r="Q6" s="14">
        <f t="shared" si="5"/>
        <v>2272.6868624999997</v>
      </c>
      <c r="R6" s="14">
        <f t="shared" si="6"/>
        <v>36346.390034624994</v>
      </c>
      <c r="S6" s="11"/>
    </row>
    <row r="7" spans="1:19" ht="15" x14ac:dyDescent="0.25">
      <c r="A7" s="9">
        <v>4</v>
      </c>
      <c r="B7" s="10">
        <v>255</v>
      </c>
      <c r="C7" s="11" t="s">
        <v>28</v>
      </c>
      <c r="D7" s="11" t="s">
        <v>29</v>
      </c>
      <c r="E7" s="11" t="s">
        <v>81</v>
      </c>
      <c r="F7" s="11" t="s">
        <v>84</v>
      </c>
      <c r="G7" s="12">
        <v>0</v>
      </c>
      <c r="H7" s="13">
        <v>23212.35</v>
      </c>
      <c r="I7" s="13">
        <v>1187.4000000000001</v>
      </c>
      <c r="J7" s="14">
        <f t="shared" si="0"/>
        <v>2033.3125</v>
      </c>
      <c r="K7" s="14">
        <f t="shared" si="1"/>
        <v>26433.0625</v>
      </c>
      <c r="L7" s="14">
        <v>622.79999999999995</v>
      </c>
      <c r="M7" s="14">
        <f t="shared" si="2"/>
        <v>6439.2952750000004</v>
      </c>
      <c r="N7" s="14">
        <f t="shared" si="3"/>
        <v>761.2722</v>
      </c>
      <c r="O7" s="14">
        <f t="shared" ref="O7:O45" si="7">(K7+L7)*5/1000</f>
        <v>135.2793125</v>
      </c>
      <c r="P7" s="14">
        <f t="shared" si="4"/>
        <v>7335.8467875000006</v>
      </c>
      <c r="Q7" s="14">
        <f t="shared" si="5"/>
        <v>2299.7483124999999</v>
      </c>
      <c r="R7" s="14">
        <f t="shared" si="6"/>
        <v>36691.457600000002</v>
      </c>
      <c r="S7" s="14"/>
    </row>
    <row r="8" spans="1:19" ht="15" x14ac:dyDescent="0.25">
      <c r="A8" s="9">
        <v>4</v>
      </c>
      <c r="B8" s="10">
        <v>393</v>
      </c>
      <c r="C8" s="11" t="s">
        <v>38</v>
      </c>
      <c r="D8" s="11" t="s">
        <v>39</v>
      </c>
      <c r="E8" s="11" t="s">
        <v>81</v>
      </c>
      <c r="F8" s="11" t="s">
        <v>85</v>
      </c>
      <c r="G8" s="12">
        <v>0</v>
      </c>
      <c r="H8" s="13">
        <v>23212.35</v>
      </c>
      <c r="I8" s="13">
        <v>930</v>
      </c>
      <c r="J8" s="14">
        <f t="shared" si="0"/>
        <v>2011.8625</v>
      </c>
      <c r="K8" s="14">
        <f t="shared" si="1"/>
        <v>26154.212499999998</v>
      </c>
      <c r="L8" s="14">
        <v>622.79999999999995</v>
      </c>
      <c r="M8" s="14">
        <f t="shared" si="2"/>
        <v>6372.9289749999998</v>
      </c>
      <c r="N8" s="14">
        <f t="shared" si="3"/>
        <v>753.24131999999997</v>
      </c>
      <c r="O8" s="14">
        <f t="shared" si="7"/>
        <v>133.8850625</v>
      </c>
      <c r="P8" s="14">
        <f t="shared" si="4"/>
        <v>7260.0553574999994</v>
      </c>
      <c r="Q8" s="14">
        <f t="shared" si="5"/>
        <v>2276.0460625000001</v>
      </c>
      <c r="R8" s="14">
        <f t="shared" si="6"/>
        <v>36313.113919999996</v>
      </c>
      <c r="S8" s="14"/>
    </row>
    <row r="9" spans="1:19" ht="15" x14ac:dyDescent="0.25">
      <c r="A9" s="9">
        <v>4</v>
      </c>
      <c r="B9" s="10">
        <v>391</v>
      </c>
      <c r="C9" s="11" t="s">
        <v>78</v>
      </c>
      <c r="D9" s="11" t="s">
        <v>23</v>
      </c>
      <c r="E9" s="11" t="s">
        <v>81</v>
      </c>
      <c r="F9" s="11" t="s">
        <v>85</v>
      </c>
      <c r="G9" s="12">
        <v>0</v>
      </c>
      <c r="H9" s="13">
        <v>23212.35</v>
      </c>
      <c r="I9" s="13">
        <v>893.52</v>
      </c>
      <c r="J9" s="14">
        <f t="shared" si="0"/>
        <v>2008.8225</v>
      </c>
      <c r="K9" s="14">
        <f t="shared" si="1"/>
        <v>26114.692499999997</v>
      </c>
      <c r="L9" s="14">
        <v>622.79999999999995</v>
      </c>
      <c r="M9" s="14">
        <f t="shared" si="2"/>
        <v>6363.5232149999993</v>
      </c>
      <c r="N9" s="14">
        <f t="shared" si="3"/>
        <v>752.10314399999993</v>
      </c>
      <c r="O9" s="14">
        <f t="shared" si="7"/>
        <v>133.68746249999998</v>
      </c>
      <c r="P9" s="14">
        <f t="shared" si="4"/>
        <v>7249.313821499999</v>
      </c>
      <c r="Q9" s="14">
        <f t="shared" si="5"/>
        <v>2272.6868624999997</v>
      </c>
      <c r="R9" s="14">
        <f t="shared" si="6"/>
        <v>36259.493183999992</v>
      </c>
      <c r="S9" s="11"/>
    </row>
    <row r="10" spans="1:19" ht="15" x14ac:dyDescent="0.25">
      <c r="A10" s="9">
        <v>1</v>
      </c>
      <c r="B10" s="10">
        <v>396</v>
      </c>
      <c r="C10" s="11" t="s">
        <v>103</v>
      </c>
      <c r="D10" s="11" t="s">
        <v>23</v>
      </c>
      <c r="E10" s="11" t="s">
        <v>81</v>
      </c>
      <c r="F10" s="11" t="s">
        <v>94</v>
      </c>
      <c r="G10" s="12">
        <v>0</v>
      </c>
      <c r="H10" s="13">
        <f>23212.35</f>
        <v>23212.35</v>
      </c>
      <c r="I10" s="13">
        <f>893.52</f>
        <v>893.52</v>
      </c>
      <c r="J10" s="14">
        <f t="shared" ref="J10" si="8">(H10+I10)/12</f>
        <v>2008.8225</v>
      </c>
      <c r="K10" s="14">
        <f>SUM(H10:J10)</f>
        <v>26114.692499999997</v>
      </c>
      <c r="L10" s="14">
        <f>622.8</f>
        <v>622.79999999999995</v>
      </c>
      <c r="M10" s="14">
        <f t="shared" ref="M10" si="9">(K10+L10)*23.8%</f>
        <v>6363.5232149999993</v>
      </c>
      <c r="N10" s="14">
        <f t="shared" ref="N10" si="10">K10*2.88%</f>
        <v>752.10314399999993</v>
      </c>
      <c r="O10" s="14">
        <f t="shared" ref="O10" si="11">(K10+L10)*5/1000</f>
        <v>133.68746249999998</v>
      </c>
      <c r="P10" s="14">
        <f t="shared" ref="P10" si="12">M10+N10+O10</f>
        <v>7249.313821499999</v>
      </c>
      <c r="Q10" s="14">
        <f t="shared" ref="Q10" si="13">(K10+L10)*8.5%</f>
        <v>2272.6868624999997</v>
      </c>
      <c r="R10" s="14">
        <f>(K10+L10+P10+Q10)</f>
        <v>36259.493183999992</v>
      </c>
      <c r="S10" s="14"/>
    </row>
    <row r="11" spans="1:19" ht="15.75" thickBot="1" x14ac:dyDescent="0.3">
      <c r="A11" s="9">
        <v>2</v>
      </c>
      <c r="B11" s="10"/>
      <c r="C11" s="29" t="s">
        <v>80</v>
      </c>
      <c r="D11" s="30" t="s">
        <v>23</v>
      </c>
      <c r="E11" s="30" t="s">
        <v>81</v>
      </c>
      <c r="F11" s="30" t="s">
        <v>82</v>
      </c>
      <c r="G11" s="31">
        <v>50</v>
      </c>
      <c r="H11" s="32">
        <f>H9/2</f>
        <v>11606.174999999999</v>
      </c>
      <c r="I11" s="32">
        <f>(893.52)/2</f>
        <v>446.76</v>
      </c>
      <c r="J11" s="33">
        <f t="shared" ref="J11:J12" si="14">(H11+I11)/12</f>
        <v>1004.41125</v>
      </c>
      <c r="K11" s="33">
        <f t="shared" ref="K11:K12" si="15">SUM(H11:J11)</f>
        <v>13057.346249999999</v>
      </c>
      <c r="L11" s="33">
        <f>(622.8)/2</f>
        <v>311.39999999999998</v>
      </c>
      <c r="M11" s="33">
        <f t="shared" ref="M11" si="16">(K11+L11)*23.8%</f>
        <v>3181.7616074999996</v>
      </c>
      <c r="N11" s="33">
        <f t="shared" ref="N11" si="17">K11*2.88%</f>
        <v>376.05157199999996</v>
      </c>
      <c r="O11" s="33">
        <f t="shared" ref="O11" si="18">(K11+L11)*5/1000</f>
        <v>66.84373124999999</v>
      </c>
      <c r="P11" s="33">
        <f t="shared" ref="P11" si="19">M11+N11+O11</f>
        <v>3624.6569107499995</v>
      </c>
      <c r="Q11" s="33">
        <f t="shared" ref="Q11" si="20">(K11+L11)*8.5%</f>
        <v>1136.3434312499999</v>
      </c>
      <c r="R11" s="33">
        <f>(K11+L11+P11+Q11)</f>
        <v>18129.746591999996</v>
      </c>
      <c r="S11" s="11"/>
    </row>
    <row r="12" spans="1:19" ht="15.75" thickTop="1" x14ac:dyDescent="0.25">
      <c r="A12" s="9">
        <v>4</v>
      </c>
      <c r="B12" s="28"/>
      <c r="C12" s="38" t="s">
        <v>99</v>
      </c>
      <c r="D12" s="39" t="s">
        <v>23</v>
      </c>
      <c r="E12" s="39" t="s">
        <v>81</v>
      </c>
      <c r="F12" s="39" t="s">
        <v>100</v>
      </c>
      <c r="G12" s="40">
        <v>0</v>
      </c>
      <c r="H12" s="41">
        <f>23212.35</f>
        <v>23212.35</v>
      </c>
      <c r="I12" s="41">
        <f>(893.52)</f>
        <v>893.52</v>
      </c>
      <c r="J12" s="42">
        <f t="shared" si="14"/>
        <v>2008.8225</v>
      </c>
      <c r="K12" s="42">
        <f t="shared" si="15"/>
        <v>26114.692499999997</v>
      </c>
      <c r="L12" s="42">
        <f>(622.8)</f>
        <v>622.79999999999995</v>
      </c>
      <c r="M12" s="42">
        <f t="shared" ref="M12" si="21">(K12+L12)*23.8%</f>
        <v>6363.5232149999993</v>
      </c>
      <c r="N12" s="42">
        <f t="shared" ref="N12" si="22">K12*2.88%</f>
        <v>752.10314399999993</v>
      </c>
      <c r="O12" s="42">
        <f t="shared" ref="O12" si="23">(K12+L12)*5/1000</f>
        <v>133.68746249999998</v>
      </c>
      <c r="P12" s="42">
        <f t="shared" ref="P12" si="24">M12+N12+O12</f>
        <v>7249.313821499999</v>
      </c>
      <c r="Q12" s="42">
        <f t="shared" ref="Q12" si="25">(K12+L12)*8.5%</f>
        <v>2272.6868624999997</v>
      </c>
      <c r="R12" s="43">
        <f>(K12+L12+P12+Q12)</f>
        <v>36259.493183999992</v>
      </c>
      <c r="S12" s="57" t="s">
        <v>107</v>
      </c>
    </row>
    <row r="13" spans="1:19" ht="15.75" thickBot="1" x14ac:dyDescent="0.3">
      <c r="A13" s="9"/>
      <c r="B13" s="28"/>
      <c r="C13" s="59" t="s">
        <v>101</v>
      </c>
      <c r="D13" s="60"/>
      <c r="E13" s="60"/>
      <c r="F13" s="60"/>
      <c r="G13" s="60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58"/>
    </row>
    <row r="14" spans="1:19" ht="15.75" thickTop="1" x14ac:dyDescent="0.25">
      <c r="A14" s="9"/>
      <c r="B14" s="10"/>
      <c r="C14" s="34"/>
      <c r="D14" s="34"/>
      <c r="E14" s="34"/>
      <c r="F14" s="34"/>
      <c r="G14" s="35"/>
      <c r="H14" s="36"/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4"/>
    </row>
    <row r="15" spans="1:19" ht="15" x14ac:dyDescent="0.25">
      <c r="A15" s="9"/>
      <c r="B15" s="10"/>
      <c r="C15" s="11"/>
      <c r="D15" s="11"/>
      <c r="E15" s="11"/>
      <c r="F15" s="11"/>
      <c r="G15" s="12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1"/>
    </row>
    <row r="16" spans="1:19" ht="15" x14ac:dyDescent="0.25">
      <c r="A16" s="9"/>
      <c r="B16" s="10"/>
      <c r="C16" s="11"/>
      <c r="D16" s="11"/>
      <c r="E16" s="11"/>
      <c r="F16" s="11"/>
      <c r="G16" s="12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1"/>
    </row>
    <row r="17" spans="1:19" ht="15" x14ac:dyDescent="0.25">
      <c r="A17" s="9"/>
      <c r="B17" s="10"/>
      <c r="C17" s="11"/>
      <c r="D17" s="11"/>
      <c r="E17" s="11"/>
      <c r="F17" s="11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1"/>
    </row>
    <row r="18" spans="1:19" ht="15" x14ac:dyDescent="0.25">
      <c r="A18" s="9">
        <v>1</v>
      </c>
      <c r="B18" s="10">
        <v>388</v>
      </c>
      <c r="C18" s="11" t="s">
        <v>37</v>
      </c>
      <c r="D18" s="11" t="s">
        <v>26</v>
      </c>
      <c r="E18" s="11" t="s">
        <v>14</v>
      </c>
      <c r="F18" s="11" t="s">
        <v>86</v>
      </c>
      <c r="G18" s="12">
        <v>50</v>
      </c>
      <c r="H18" s="13">
        <f>21392.87/2</f>
        <v>10696.434999999999</v>
      </c>
      <c r="I18" s="13">
        <v>411.06</v>
      </c>
      <c r="J18" s="14">
        <f t="shared" si="0"/>
        <v>925.62458333333325</v>
      </c>
      <c r="K18" s="14">
        <f t="shared" si="1"/>
        <v>12033.119583333333</v>
      </c>
      <c r="L18" s="14">
        <v>274.8</v>
      </c>
      <c r="M18" s="14">
        <f t="shared" si="2"/>
        <v>2929.2848608333334</v>
      </c>
      <c r="N18" s="14">
        <f t="shared" si="3"/>
        <v>346.55384399999997</v>
      </c>
      <c r="O18" s="14">
        <f t="shared" si="7"/>
        <v>61.539597916666665</v>
      </c>
      <c r="P18" s="14">
        <f t="shared" si="4"/>
        <v>3337.3783027499999</v>
      </c>
      <c r="Q18" s="14">
        <f t="shared" si="5"/>
        <v>1046.1731645833333</v>
      </c>
      <c r="R18" s="14">
        <f t="shared" si="6"/>
        <v>16691.471050666667</v>
      </c>
      <c r="S18" s="14"/>
    </row>
    <row r="19" spans="1:19" ht="15" x14ac:dyDescent="0.25">
      <c r="A19" s="9">
        <v>1</v>
      </c>
      <c r="B19" s="10"/>
      <c r="C19" s="15" t="s">
        <v>80</v>
      </c>
      <c r="D19" s="11" t="s">
        <v>26</v>
      </c>
      <c r="E19" s="11" t="s">
        <v>14</v>
      </c>
      <c r="F19" s="11" t="s">
        <v>97</v>
      </c>
      <c r="G19" s="12">
        <v>0</v>
      </c>
      <c r="H19" s="13">
        <v>21392.87</v>
      </c>
      <c r="I19" s="13">
        <v>823.32</v>
      </c>
      <c r="J19" s="14">
        <f t="shared" si="0"/>
        <v>1851.3491666666666</v>
      </c>
      <c r="K19" s="14">
        <f t="shared" si="1"/>
        <v>24067.539166666666</v>
      </c>
      <c r="L19" s="14">
        <v>549.6</v>
      </c>
      <c r="M19" s="14">
        <f t="shared" si="2"/>
        <v>5858.8791216666668</v>
      </c>
      <c r="N19" s="14">
        <f t="shared" si="3"/>
        <v>693.145128</v>
      </c>
      <c r="O19" s="14">
        <f t="shared" si="7"/>
        <v>123.08569583333332</v>
      </c>
      <c r="P19" s="14">
        <f t="shared" si="4"/>
        <v>6675.1099455000003</v>
      </c>
      <c r="Q19" s="14">
        <f t="shared" si="5"/>
        <v>2092.4568291666665</v>
      </c>
      <c r="R19" s="14">
        <f t="shared" si="6"/>
        <v>33384.705941333334</v>
      </c>
      <c r="S19" s="14"/>
    </row>
    <row r="20" spans="1:19" ht="15" x14ac:dyDescent="0.25">
      <c r="A20" s="9">
        <v>1</v>
      </c>
      <c r="B20" s="10">
        <v>535</v>
      </c>
      <c r="C20" s="11" t="s">
        <v>49</v>
      </c>
      <c r="D20" s="11" t="s">
        <v>26</v>
      </c>
      <c r="E20" s="11" t="s">
        <v>14</v>
      </c>
      <c r="F20" s="11" t="s">
        <v>97</v>
      </c>
      <c r="G20" s="12">
        <v>0</v>
      </c>
      <c r="H20" s="13">
        <v>21392.87</v>
      </c>
      <c r="I20" s="13">
        <v>823.32</v>
      </c>
      <c r="J20" s="14">
        <f t="shared" si="0"/>
        <v>1851.3491666666666</v>
      </c>
      <c r="K20" s="14">
        <f t="shared" si="1"/>
        <v>24067.539166666666</v>
      </c>
      <c r="L20" s="14">
        <v>549.6</v>
      </c>
      <c r="M20" s="14">
        <f t="shared" si="2"/>
        <v>5858.8791216666668</v>
      </c>
      <c r="N20" s="14">
        <f t="shared" si="3"/>
        <v>693.145128</v>
      </c>
      <c r="O20" s="14">
        <f t="shared" si="7"/>
        <v>123.08569583333332</v>
      </c>
      <c r="P20" s="14">
        <f t="shared" si="4"/>
        <v>6675.1099455000003</v>
      </c>
      <c r="Q20" s="14">
        <f t="shared" si="5"/>
        <v>2092.4568291666665</v>
      </c>
      <c r="R20" s="14">
        <f t="shared" si="6"/>
        <v>33384.705941333334</v>
      </c>
      <c r="S20" s="14"/>
    </row>
    <row r="21" spans="1:19" ht="15" x14ac:dyDescent="0.25">
      <c r="A21" s="9">
        <v>2</v>
      </c>
      <c r="B21" s="10">
        <v>127</v>
      </c>
      <c r="C21" s="11" t="s">
        <v>20</v>
      </c>
      <c r="D21" s="11" t="s">
        <v>21</v>
      </c>
      <c r="E21" s="11" t="s">
        <v>14</v>
      </c>
      <c r="F21" s="11" t="s">
        <v>87</v>
      </c>
      <c r="G21" s="12">
        <v>0</v>
      </c>
      <c r="H21" s="13">
        <v>21392.87</v>
      </c>
      <c r="I21" s="13">
        <v>891.72</v>
      </c>
      <c r="J21" s="14">
        <f t="shared" si="0"/>
        <v>1857.0491666666667</v>
      </c>
      <c r="K21" s="14">
        <f t="shared" si="1"/>
        <v>24141.639166666668</v>
      </c>
      <c r="L21" s="14">
        <v>549.6</v>
      </c>
      <c r="M21" s="14">
        <f t="shared" si="2"/>
        <v>5876.5149216666669</v>
      </c>
      <c r="N21" s="14">
        <f t="shared" si="3"/>
        <v>695.27920800000004</v>
      </c>
      <c r="O21" s="14">
        <f t="shared" si="7"/>
        <v>123.45619583333333</v>
      </c>
      <c r="P21" s="14">
        <f t="shared" si="4"/>
        <v>6695.2503255000001</v>
      </c>
      <c r="Q21" s="14">
        <f t="shared" si="5"/>
        <v>2098.7553291666668</v>
      </c>
      <c r="R21" s="14">
        <f t="shared" si="6"/>
        <v>33485.244821333334</v>
      </c>
      <c r="S21" s="14"/>
    </row>
    <row r="22" spans="1:19" ht="15" x14ac:dyDescent="0.25">
      <c r="A22" s="9">
        <v>2</v>
      </c>
      <c r="B22" s="10">
        <v>384</v>
      </c>
      <c r="C22" s="11" t="s">
        <v>34</v>
      </c>
      <c r="D22" s="11" t="s">
        <v>35</v>
      </c>
      <c r="E22" s="11" t="s">
        <v>14</v>
      </c>
      <c r="F22" s="11" t="s">
        <v>87</v>
      </c>
      <c r="G22" s="12">
        <v>0</v>
      </c>
      <c r="H22" s="13">
        <v>21392.87</v>
      </c>
      <c r="I22" s="13">
        <v>864.84</v>
      </c>
      <c r="J22" s="14">
        <f t="shared" si="0"/>
        <v>1854.8091666666667</v>
      </c>
      <c r="K22" s="14">
        <f t="shared" si="1"/>
        <v>24112.519166666665</v>
      </c>
      <c r="L22" s="14">
        <v>549.6</v>
      </c>
      <c r="M22" s="14">
        <f t="shared" si="2"/>
        <v>5869.5843616666662</v>
      </c>
      <c r="N22" s="14">
        <f t="shared" si="3"/>
        <v>694.44055199999991</v>
      </c>
      <c r="O22" s="14">
        <f t="shared" si="7"/>
        <v>123.31059583333332</v>
      </c>
      <c r="P22" s="14">
        <f t="shared" si="4"/>
        <v>6687.3355094999997</v>
      </c>
      <c r="Q22" s="14">
        <f t="shared" si="5"/>
        <v>2096.2801291666665</v>
      </c>
      <c r="R22" s="14">
        <f t="shared" si="6"/>
        <v>33445.734805333333</v>
      </c>
      <c r="S22" s="14"/>
    </row>
    <row r="23" spans="1:19" ht="15" x14ac:dyDescent="0.25">
      <c r="A23" s="9">
        <v>2</v>
      </c>
      <c r="B23" s="10">
        <v>607</v>
      </c>
      <c r="C23" s="11" t="s">
        <v>75</v>
      </c>
      <c r="D23" s="11" t="s">
        <v>26</v>
      </c>
      <c r="E23" s="11" t="s">
        <v>14</v>
      </c>
      <c r="F23" s="11" t="s">
        <v>87</v>
      </c>
      <c r="G23" s="12">
        <v>50</v>
      </c>
      <c r="H23" s="13">
        <f>21392.87/2</f>
        <v>10696.434999999999</v>
      </c>
      <c r="I23" s="13">
        <v>411.66</v>
      </c>
      <c r="J23" s="14">
        <f t="shared" si="0"/>
        <v>925.67458333333332</v>
      </c>
      <c r="K23" s="14">
        <f t="shared" si="1"/>
        <v>12033.769583333333</v>
      </c>
      <c r="L23" s="14">
        <v>274.8</v>
      </c>
      <c r="M23" s="14">
        <f t="shared" si="2"/>
        <v>2929.4395608333334</v>
      </c>
      <c r="N23" s="14">
        <f t="shared" si="3"/>
        <v>346.572564</v>
      </c>
      <c r="O23" s="14">
        <f t="shared" si="7"/>
        <v>61.542847916666659</v>
      </c>
      <c r="P23" s="14">
        <f t="shared" si="4"/>
        <v>3337.5549727500002</v>
      </c>
      <c r="Q23" s="14">
        <f t="shared" si="5"/>
        <v>1046.2284145833332</v>
      </c>
      <c r="R23" s="14">
        <f t="shared" si="6"/>
        <v>16692.352970666667</v>
      </c>
      <c r="S23" s="14"/>
    </row>
    <row r="24" spans="1:19" ht="15" x14ac:dyDescent="0.25">
      <c r="A24" s="9">
        <v>3</v>
      </c>
      <c r="B24" s="10">
        <v>112</v>
      </c>
      <c r="C24" s="11" t="s">
        <v>16</v>
      </c>
      <c r="D24" s="11" t="s">
        <v>17</v>
      </c>
      <c r="E24" s="11" t="s">
        <v>14</v>
      </c>
      <c r="F24" s="11" t="s">
        <v>88</v>
      </c>
      <c r="G24" s="12">
        <v>83.33</v>
      </c>
      <c r="H24" s="13">
        <f>21392.87*G24/100</f>
        <v>17826.678571</v>
      </c>
      <c r="I24" s="13">
        <f>702.17*G24/100</f>
        <v>585.11826099999996</v>
      </c>
      <c r="J24" s="14">
        <f>(H24+I24)/12</f>
        <v>1534.3164026666666</v>
      </c>
      <c r="K24" s="14">
        <f t="shared" si="1"/>
        <v>19946.113234666667</v>
      </c>
      <c r="L24" s="14">
        <f>G24*549.6/100</f>
        <v>457.98167999999998</v>
      </c>
      <c r="M24" s="14">
        <f>(K24+L24)*23.8%</f>
        <v>4856.1745896906677</v>
      </c>
      <c r="N24" s="14">
        <f>K24*2.88%</f>
        <v>574.44806115840004</v>
      </c>
      <c r="O24" s="14">
        <f t="shared" ref="O24:O30" si="26">(K24+L24)*8.25/1000</f>
        <v>168.33378304600001</v>
      </c>
      <c r="P24" s="14">
        <f t="shared" si="4"/>
        <v>5598.9564338950677</v>
      </c>
      <c r="Q24" s="14">
        <f t="shared" si="5"/>
        <v>1734.3480677466669</v>
      </c>
      <c r="R24" s="14">
        <f t="shared" si="6"/>
        <v>27737.399416308399</v>
      </c>
      <c r="S24" s="14"/>
    </row>
    <row r="25" spans="1:19" ht="15" x14ac:dyDescent="0.25">
      <c r="A25" s="9">
        <v>3</v>
      </c>
      <c r="B25" s="10">
        <v>185</v>
      </c>
      <c r="C25" s="11" t="s">
        <v>24</v>
      </c>
      <c r="D25" s="11" t="s">
        <v>17</v>
      </c>
      <c r="E25" s="11" t="s">
        <v>14</v>
      </c>
      <c r="F25" s="11" t="s">
        <v>88</v>
      </c>
      <c r="G25" s="12">
        <v>83.33</v>
      </c>
      <c r="H25" s="13">
        <f>21392.87*G25/100</f>
        <v>17826.678571</v>
      </c>
      <c r="I25" s="13">
        <f>702.17*G25/100</f>
        <v>585.11826099999996</v>
      </c>
      <c r="J25" s="14">
        <f>(H25+I25)/12</f>
        <v>1534.3164026666666</v>
      </c>
      <c r="K25" s="14">
        <f t="shared" ref="K25" si="27">SUM(H25:J25)</f>
        <v>19946.113234666667</v>
      </c>
      <c r="L25" s="14">
        <f>G25*549.6/100</f>
        <v>457.98167999999998</v>
      </c>
      <c r="M25" s="14">
        <f>(K25+L25)*23.8%</f>
        <v>4856.1745896906677</v>
      </c>
      <c r="N25" s="14">
        <f>K25*2.88%</f>
        <v>574.44806115840004</v>
      </c>
      <c r="O25" s="14">
        <f t="shared" si="26"/>
        <v>168.33378304600001</v>
      </c>
      <c r="P25" s="14">
        <f t="shared" ref="P25" si="28">M25+N25+O25</f>
        <v>5598.9564338950677</v>
      </c>
      <c r="Q25" s="14">
        <f t="shared" ref="Q25" si="29">(K25+L25)*8.5%</f>
        <v>1734.3480677466669</v>
      </c>
      <c r="R25" s="14">
        <f t="shared" ref="R25" si="30">K25+L25+P25+Q25</f>
        <v>27737.399416308399</v>
      </c>
      <c r="S25" s="14"/>
    </row>
    <row r="26" spans="1:19" ht="15" x14ac:dyDescent="0.25">
      <c r="A26" s="9">
        <v>3</v>
      </c>
      <c r="B26" s="10"/>
      <c r="C26" s="15" t="s">
        <v>80</v>
      </c>
      <c r="D26" s="11" t="s">
        <v>26</v>
      </c>
      <c r="E26" s="11" t="s">
        <v>14</v>
      </c>
      <c r="F26" s="27" t="s">
        <v>102</v>
      </c>
      <c r="G26" s="12">
        <v>50</v>
      </c>
      <c r="H26" s="13">
        <f>(21392.87/2)</f>
        <v>10696.434999999999</v>
      </c>
      <c r="I26" s="13">
        <f>411.66</f>
        <v>411.66</v>
      </c>
      <c r="J26" s="14">
        <f t="shared" si="0"/>
        <v>925.67458333333332</v>
      </c>
      <c r="K26" s="14">
        <f t="shared" si="1"/>
        <v>12033.769583333333</v>
      </c>
      <c r="L26" s="14">
        <f>274.8</f>
        <v>274.8</v>
      </c>
      <c r="M26" s="14">
        <f t="shared" si="2"/>
        <v>2929.4395608333334</v>
      </c>
      <c r="N26" s="14">
        <f t="shared" si="3"/>
        <v>346.572564</v>
      </c>
      <c r="O26" s="14">
        <f t="shared" si="26"/>
        <v>101.54569906249999</v>
      </c>
      <c r="P26" s="14">
        <f t="shared" si="4"/>
        <v>3377.5578238958333</v>
      </c>
      <c r="Q26" s="14">
        <f t="shared" si="5"/>
        <v>1046.2284145833332</v>
      </c>
      <c r="R26" s="14">
        <f t="shared" si="6"/>
        <v>16732.3558218125</v>
      </c>
      <c r="S26" s="14"/>
    </row>
    <row r="27" spans="1:19" ht="15" x14ac:dyDescent="0.25">
      <c r="A27" s="9">
        <v>3</v>
      </c>
      <c r="B27" s="10">
        <v>375</v>
      </c>
      <c r="C27" s="11" t="s">
        <v>33</v>
      </c>
      <c r="D27" s="11" t="s">
        <v>17</v>
      </c>
      <c r="E27" s="11" t="s">
        <v>14</v>
      </c>
      <c r="F27" s="11" t="s">
        <v>88</v>
      </c>
      <c r="G27" s="12">
        <v>83.33</v>
      </c>
      <c r="H27" s="13">
        <f>21392.87*G27/100</f>
        <v>17826.678571</v>
      </c>
      <c r="I27" s="13">
        <f>702.17*G27/100</f>
        <v>585.11826099999996</v>
      </c>
      <c r="J27" s="14">
        <f>(H27+I27)/12</f>
        <v>1534.3164026666666</v>
      </c>
      <c r="K27" s="14">
        <f t="shared" ref="K27" si="31">SUM(H27:J27)</f>
        <v>19946.113234666667</v>
      </c>
      <c r="L27" s="14">
        <f>G27*549.6/100</f>
        <v>457.98167999999998</v>
      </c>
      <c r="M27" s="14">
        <f>(K27+L27)*23.8%</f>
        <v>4856.1745896906677</v>
      </c>
      <c r="N27" s="14">
        <f>K27*2.88%</f>
        <v>574.44806115840004</v>
      </c>
      <c r="O27" s="14">
        <f t="shared" si="26"/>
        <v>168.33378304600001</v>
      </c>
      <c r="P27" s="14">
        <f t="shared" ref="P27" si="32">M27+N27+O27</f>
        <v>5598.9564338950677</v>
      </c>
      <c r="Q27" s="14">
        <f t="shared" ref="Q27" si="33">(K27+L27)*8.5%</f>
        <v>1734.3480677466669</v>
      </c>
      <c r="R27" s="14">
        <f t="shared" ref="R27" si="34">K27+L27+P27+Q27</f>
        <v>27737.399416308399</v>
      </c>
      <c r="S27" s="14"/>
    </row>
    <row r="28" spans="1:19" ht="15" x14ac:dyDescent="0.25">
      <c r="A28" s="9">
        <v>3</v>
      </c>
      <c r="B28" s="10">
        <v>460</v>
      </c>
      <c r="C28" s="11" t="s">
        <v>44</v>
      </c>
      <c r="D28" s="11" t="s">
        <v>13</v>
      </c>
      <c r="E28" s="11" t="s">
        <v>14</v>
      </c>
      <c r="F28" s="11" t="s">
        <v>88</v>
      </c>
      <c r="G28" s="12">
        <v>0</v>
      </c>
      <c r="H28" s="13">
        <f>21392.87</f>
        <v>21392.87</v>
      </c>
      <c r="I28" s="13">
        <f>924</f>
        <v>924</v>
      </c>
      <c r="J28" s="14">
        <f t="shared" si="0"/>
        <v>1859.7391666666665</v>
      </c>
      <c r="K28" s="14">
        <f t="shared" si="1"/>
        <v>24176.609166666665</v>
      </c>
      <c r="L28" s="14">
        <v>549.6</v>
      </c>
      <c r="M28" s="14">
        <f t="shared" si="2"/>
        <v>5884.8377816666662</v>
      </c>
      <c r="N28" s="14">
        <f t="shared" si="3"/>
        <v>696.28634399999999</v>
      </c>
      <c r="O28" s="14">
        <f t="shared" si="26"/>
        <v>203.99122562499997</v>
      </c>
      <c r="P28" s="14">
        <f t="shared" si="4"/>
        <v>6785.1153512916662</v>
      </c>
      <c r="Q28" s="14">
        <f t="shared" si="5"/>
        <v>2101.7277791666666</v>
      </c>
      <c r="R28" s="14">
        <f t="shared" si="6"/>
        <v>33613.052297124996</v>
      </c>
      <c r="S28" s="14"/>
    </row>
    <row r="29" spans="1:19" ht="15" x14ac:dyDescent="0.25">
      <c r="A29" s="9">
        <v>3</v>
      </c>
      <c r="B29" s="10">
        <v>485</v>
      </c>
      <c r="C29" s="11" t="s">
        <v>45</v>
      </c>
      <c r="D29" s="11" t="s">
        <v>72</v>
      </c>
      <c r="E29" s="11" t="s">
        <v>14</v>
      </c>
      <c r="F29" s="11" t="s">
        <v>88</v>
      </c>
      <c r="G29" s="12">
        <v>83.33</v>
      </c>
      <c r="H29" s="13">
        <f>21392.87*G29/100</f>
        <v>17826.678571</v>
      </c>
      <c r="I29" s="13">
        <f>702.17*G29/100</f>
        <v>585.11826099999996</v>
      </c>
      <c r="J29" s="14">
        <f>(H29+I29)/12</f>
        <v>1534.3164026666666</v>
      </c>
      <c r="K29" s="14">
        <f t="shared" si="1"/>
        <v>19946.113234666667</v>
      </c>
      <c r="L29" s="14">
        <f>G29*549.6/100</f>
        <v>457.98167999999998</v>
      </c>
      <c r="M29" s="14">
        <f>(K29+L29)*23.8%</f>
        <v>4856.1745896906677</v>
      </c>
      <c r="N29" s="14">
        <f>K29*2.88%</f>
        <v>574.44806115840004</v>
      </c>
      <c r="O29" s="14">
        <f t="shared" si="26"/>
        <v>168.33378304600001</v>
      </c>
      <c r="P29" s="14">
        <f t="shared" si="4"/>
        <v>5598.9564338950677</v>
      </c>
      <c r="Q29" s="14">
        <f t="shared" si="5"/>
        <v>1734.3480677466669</v>
      </c>
      <c r="R29" s="14">
        <f t="shared" si="6"/>
        <v>27737.399416308399</v>
      </c>
      <c r="S29" s="14"/>
    </row>
    <row r="30" spans="1:19" ht="15" x14ac:dyDescent="0.25">
      <c r="A30" s="9">
        <v>3</v>
      </c>
      <c r="B30" s="10">
        <v>595</v>
      </c>
      <c r="C30" s="11" t="s">
        <v>53</v>
      </c>
      <c r="D30" s="11" t="s">
        <v>26</v>
      </c>
      <c r="E30" s="11" t="s">
        <v>14</v>
      </c>
      <c r="F30" s="11" t="s">
        <v>88</v>
      </c>
      <c r="G30" s="12">
        <v>50</v>
      </c>
      <c r="H30" s="13">
        <v>10696.44</v>
      </c>
      <c r="I30" s="13">
        <v>411.66</v>
      </c>
      <c r="J30" s="14">
        <f t="shared" si="0"/>
        <v>925.67500000000007</v>
      </c>
      <c r="K30" s="14">
        <f t="shared" si="1"/>
        <v>12033.775</v>
      </c>
      <c r="L30" s="14">
        <v>274.8</v>
      </c>
      <c r="M30" s="14">
        <f t="shared" si="2"/>
        <v>2929.44085</v>
      </c>
      <c r="N30" s="14">
        <f t="shared" si="3"/>
        <v>346.57272</v>
      </c>
      <c r="O30" s="14">
        <f t="shared" si="26"/>
        <v>101.54574375</v>
      </c>
      <c r="P30" s="14">
        <f t="shared" si="4"/>
        <v>3377.55931375</v>
      </c>
      <c r="Q30" s="14">
        <f t="shared" si="5"/>
        <v>1046.228875</v>
      </c>
      <c r="R30" s="14">
        <f t="shared" si="6"/>
        <v>16732.363188749998</v>
      </c>
      <c r="S30" s="14"/>
    </row>
    <row r="31" spans="1:19" ht="15" x14ac:dyDescent="0.25">
      <c r="A31" s="9">
        <v>4</v>
      </c>
      <c r="B31" s="10">
        <v>100</v>
      </c>
      <c r="C31" s="11" t="s">
        <v>12</v>
      </c>
      <c r="D31" s="11" t="s">
        <v>13</v>
      </c>
      <c r="E31" s="11" t="s">
        <v>14</v>
      </c>
      <c r="F31" s="11" t="s">
        <v>91</v>
      </c>
      <c r="G31" s="12">
        <v>0</v>
      </c>
      <c r="H31" s="13">
        <f>(21392.87)*11/12</f>
        <v>19610.130833333333</v>
      </c>
      <c r="I31" s="13">
        <f>924*11/12</f>
        <v>847</v>
      </c>
      <c r="J31" s="14">
        <f t="shared" si="0"/>
        <v>1704.7609027777778</v>
      </c>
      <c r="K31" s="14">
        <f t="shared" si="1"/>
        <v>22161.891736111109</v>
      </c>
      <c r="L31" s="14">
        <f>549.6*11/12</f>
        <v>503.8</v>
      </c>
      <c r="M31" s="14">
        <f t="shared" si="2"/>
        <v>5394.4346331944444</v>
      </c>
      <c r="N31" s="14">
        <f t="shared" si="3"/>
        <v>638.26248199999986</v>
      </c>
      <c r="O31" s="14">
        <f t="shared" si="7"/>
        <v>113.32845868055554</v>
      </c>
      <c r="P31" s="14">
        <f t="shared" si="4"/>
        <v>6146.0255738750002</v>
      </c>
      <c r="Q31" s="14">
        <f t="shared" si="5"/>
        <v>1926.5837975694444</v>
      </c>
      <c r="R31" s="14">
        <f t="shared" si="6"/>
        <v>30738.301107555555</v>
      </c>
      <c r="S31" s="14"/>
    </row>
    <row r="32" spans="1:19" ht="15" x14ac:dyDescent="0.25">
      <c r="A32" s="9">
        <v>4</v>
      </c>
      <c r="B32" s="10">
        <v>328</v>
      </c>
      <c r="C32" s="11" t="s">
        <v>32</v>
      </c>
      <c r="D32" s="11" t="s">
        <v>26</v>
      </c>
      <c r="E32" s="11" t="s">
        <v>14</v>
      </c>
      <c r="F32" s="11" t="s">
        <v>97</v>
      </c>
      <c r="G32" s="12">
        <v>0</v>
      </c>
      <c r="H32" s="13">
        <v>21392.87</v>
      </c>
      <c r="I32" s="13">
        <v>823.32</v>
      </c>
      <c r="J32" s="14">
        <f t="shared" si="0"/>
        <v>1851.3491666666666</v>
      </c>
      <c r="K32" s="14">
        <f t="shared" si="1"/>
        <v>24067.539166666666</v>
      </c>
      <c r="L32" s="14">
        <v>549.6</v>
      </c>
      <c r="M32" s="14">
        <f t="shared" si="2"/>
        <v>5858.8791216666668</v>
      </c>
      <c r="N32" s="14">
        <f t="shared" si="3"/>
        <v>693.145128</v>
      </c>
      <c r="O32" s="14">
        <f t="shared" si="7"/>
        <v>123.08569583333332</v>
      </c>
      <c r="P32" s="14">
        <f t="shared" si="4"/>
        <v>6675.1099455000003</v>
      </c>
      <c r="Q32" s="14">
        <f t="shared" si="5"/>
        <v>2092.4568291666665</v>
      </c>
      <c r="R32" s="14">
        <f t="shared" si="6"/>
        <v>33384.705941333334</v>
      </c>
      <c r="S32" s="14"/>
    </row>
    <row r="33" spans="1:19" ht="15" x14ac:dyDescent="0.25">
      <c r="A33" s="9">
        <v>4</v>
      </c>
      <c r="B33" s="10">
        <v>410</v>
      </c>
      <c r="C33" s="11" t="s">
        <v>43</v>
      </c>
      <c r="D33" s="11" t="s">
        <v>13</v>
      </c>
      <c r="E33" s="11" t="s">
        <v>14</v>
      </c>
      <c r="F33" s="11" t="s">
        <v>89</v>
      </c>
      <c r="G33" s="12">
        <v>0</v>
      </c>
      <c r="H33" s="13">
        <f>21392.87*11/12</f>
        <v>19610.130833333333</v>
      </c>
      <c r="I33" s="13">
        <f>924*11/12</f>
        <v>847</v>
      </c>
      <c r="J33" s="14">
        <f t="shared" si="0"/>
        <v>1704.7609027777778</v>
      </c>
      <c r="K33" s="14">
        <f t="shared" si="1"/>
        <v>22161.891736111109</v>
      </c>
      <c r="L33" s="14">
        <f>549.6*11/12</f>
        <v>503.8</v>
      </c>
      <c r="M33" s="14">
        <f t="shared" si="2"/>
        <v>5394.4346331944444</v>
      </c>
      <c r="N33" s="14">
        <f t="shared" si="3"/>
        <v>638.26248199999986</v>
      </c>
      <c r="O33" s="14">
        <f t="shared" si="7"/>
        <v>113.32845868055554</v>
      </c>
      <c r="P33" s="14">
        <f t="shared" si="4"/>
        <v>6146.0255738750002</v>
      </c>
      <c r="Q33" s="14">
        <f t="shared" si="5"/>
        <v>1926.5837975694444</v>
      </c>
      <c r="R33" s="14">
        <f t="shared" si="6"/>
        <v>30738.301107555555</v>
      </c>
      <c r="S33" s="14"/>
    </row>
    <row r="34" spans="1:19" ht="15" x14ac:dyDescent="0.25">
      <c r="A34" s="9">
        <v>4</v>
      </c>
      <c r="B34" s="10">
        <v>495</v>
      </c>
      <c r="C34" s="11" t="s">
        <v>46</v>
      </c>
      <c r="D34" s="11" t="s">
        <v>21</v>
      </c>
      <c r="E34" s="11" t="s">
        <v>14</v>
      </c>
      <c r="F34" s="11" t="s">
        <v>89</v>
      </c>
      <c r="G34" s="12">
        <v>0</v>
      </c>
      <c r="H34" s="13">
        <v>21392.87</v>
      </c>
      <c r="I34" s="13">
        <v>691.72</v>
      </c>
      <c r="J34" s="14">
        <f t="shared" si="0"/>
        <v>1840.3824999999999</v>
      </c>
      <c r="K34" s="14">
        <f t="shared" si="1"/>
        <v>23924.9725</v>
      </c>
      <c r="L34" s="14">
        <v>549.6</v>
      </c>
      <c r="M34" s="14">
        <f t="shared" si="2"/>
        <v>5824.9482550000002</v>
      </c>
      <c r="N34" s="14">
        <f t="shared" si="3"/>
        <v>689.03920800000003</v>
      </c>
      <c r="O34" s="14">
        <f t="shared" si="7"/>
        <v>122.37286249999998</v>
      </c>
      <c r="P34" s="14">
        <f t="shared" si="4"/>
        <v>6636.3603255000007</v>
      </c>
      <c r="Q34" s="14">
        <f t="shared" si="5"/>
        <v>2080.3386624999998</v>
      </c>
      <c r="R34" s="14">
        <f t="shared" si="6"/>
        <v>33191.271487999998</v>
      </c>
      <c r="S34" s="14"/>
    </row>
    <row r="35" spans="1:19" ht="15" x14ac:dyDescent="0.25">
      <c r="A35" s="9">
        <v>4</v>
      </c>
      <c r="B35" s="10">
        <v>660</v>
      </c>
      <c r="C35" s="11" t="s">
        <v>57</v>
      </c>
      <c r="D35" s="11" t="s">
        <v>74</v>
      </c>
      <c r="E35" s="11" t="s">
        <v>14</v>
      </c>
      <c r="F35" s="11" t="s">
        <v>89</v>
      </c>
      <c r="G35" s="12">
        <v>0</v>
      </c>
      <c r="H35" s="13">
        <v>21392.87</v>
      </c>
      <c r="I35" s="13">
        <v>924</v>
      </c>
      <c r="J35" s="14">
        <f t="shared" si="0"/>
        <v>1859.7391666666665</v>
      </c>
      <c r="K35" s="14">
        <f t="shared" si="1"/>
        <v>24176.609166666665</v>
      </c>
      <c r="L35" s="14">
        <v>549.6</v>
      </c>
      <c r="M35" s="14">
        <f t="shared" si="2"/>
        <v>5884.8377816666662</v>
      </c>
      <c r="N35" s="14">
        <f t="shared" si="3"/>
        <v>696.28634399999999</v>
      </c>
      <c r="O35" s="14">
        <f t="shared" si="7"/>
        <v>123.63104583333332</v>
      </c>
      <c r="P35" s="14">
        <f t="shared" si="4"/>
        <v>6704.7551715</v>
      </c>
      <c r="Q35" s="14">
        <f t="shared" si="5"/>
        <v>2101.7277791666666</v>
      </c>
      <c r="R35" s="14">
        <f t="shared" si="6"/>
        <v>33532.692117333332</v>
      </c>
      <c r="S35" s="14"/>
    </row>
    <row r="36" spans="1:19" ht="15" x14ac:dyDescent="0.25">
      <c r="A36" s="9">
        <v>4</v>
      </c>
      <c r="B36" s="10">
        <v>690</v>
      </c>
      <c r="C36" s="11" t="s">
        <v>58</v>
      </c>
      <c r="D36" s="11" t="s">
        <v>17</v>
      </c>
      <c r="E36" s="11" t="s">
        <v>14</v>
      </c>
      <c r="F36" s="11" t="s">
        <v>89</v>
      </c>
      <c r="G36" s="12">
        <v>0</v>
      </c>
      <c r="H36" s="13">
        <v>21392.87</v>
      </c>
      <c r="I36" s="13">
        <v>842.64</v>
      </c>
      <c r="J36" s="14">
        <f t="shared" si="0"/>
        <v>1852.9591666666665</v>
      </c>
      <c r="K36" s="14">
        <f t="shared" si="1"/>
        <v>24088.469166666666</v>
      </c>
      <c r="L36" s="14">
        <v>549.6</v>
      </c>
      <c r="M36" s="14">
        <f t="shared" si="2"/>
        <v>5863.8604616666662</v>
      </c>
      <c r="N36" s="14">
        <f t="shared" si="3"/>
        <v>693.74791199999993</v>
      </c>
      <c r="O36" s="14">
        <f t="shared" si="7"/>
        <v>123.19034583333332</v>
      </c>
      <c r="P36" s="14">
        <f t="shared" si="4"/>
        <v>6680.7987194999996</v>
      </c>
      <c r="Q36" s="14">
        <f t="shared" si="5"/>
        <v>2094.2358791666666</v>
      </c>
      <c r="R36" s="14">
        <f t="shared" si="6"/>
        <v>33413.103765333333</v>
      </c>
      <c r="S36" s="14"/>
    </row>
    <row r="37" spans="1:19" ht="15" x14ac:dyDescent="0.25">
      <c r="A37" s="9">
        <v>1</v>
      </c>
      <c r="B37" s="10"/>
      <c r="C37" s="15" t="s">
        <v>80</v>
      </c>
      <c r="D37" s="11" t="s">
        <v>26</v>
      </c>
      <c r="E37" s="11" t="s">
        <v>14</v>
      </c>
      <c r="F37" s="11" t="s">
        <v>90</v>
      </c>
      <c r="G37" s="12">
        <v>0</v>
      </c>
      <c r="H37" s="13">
        <f>21392.87</f>
        <v>21392.87</v>
      </c>
      <c r="I37" s="13">
        <f>842.64</f>
        <v>842.64</v>
      </c>
      <c r="J37" s="14">
        <f t="shared" ref="J37:J38" si="35">(H37+I37)/12</f>
        <v>1852.9591666666665</v>
      </c>
      <c r="K37" s="14">
        <f t="shared" ref="K37:K38" si="36">SUM(H37:J37)</f>
        <v>24088.469166666666</v>
      </c>
      <c r="L37" s="14">
        <f>549.6</f>
        <v>549.6</v>
      </c>
      <c r="M37" s="14">
        <f t="shared" ref="M37:M38" si="37">(K37+L37)*23.8%</f>
        <v>5863.8604616666662</v>
      </c>
      <c r="N37" s="14">
        <f t="shared" ref="N37:N38" si="38">K37*2.88%</f>
        <v>693.74791199999993</v>
      </c>
      <c r="O37" s="14">
        <f t="shared" ref="O37" si="39">(K37+L37)*5/1000</f>
        <v>123.19034583333332</v>
      </c>
      <c r="P37" s="14">
        <f t="shared" ref="P37:P38" si="40">M37+N37+O37</f>
        <v>6680.7987194999996</v>
      </c>
      <c r="Q37" s="14">
        <f t="shared" ref="Q37:Q38" si="41">(K37+L37)*8.5%</f>
        <v>2094.2358791666666</v>
      </c>
      <c r="R37" s="14">
        <f t="shared" ref="R37:R38" si="42">K37+L37+P37+Q37</f>
        <v>33413.103765333333</v>
      </c>
      <c r="S37" s="14"/>
    </row>
    <row r="38" spans="1:19" ht="15" x14ac:dyDescent="0.25">
      <c r="A38" s="9"/>
      <c r="B38" s="10"/>
      <c r="C38" s="15" t="s">
        <v>108</v>
      </c>
      <c r="D38" s="11" t="s">
        <v>26</v>
      </c>
      <c r="E38" s="11" t="s">
        <v>14</v>
      </c>
      <c r="F38" s="27" t="s">
        <v>102</v>
      </c>
      <c r="G38" s="12">
        <v>50</v>
      </c>
      <c r="H38" s="13">
        <f>(21392.87/2)</f>
        <v>10696.434999999999</v>
      </c>
      <c r="I38" s="13">
        <f>411.66</f>
        <v>411.66</v>
      </c>
      <c r="J38" s="14">
        <f t="shared" si="35"/>
        <v>925.67458333333332</v>
      </c>
      <c r="K38" s="14">
        <f t="shared" si="36"/>
        <v>12033.769583333333</v>
      </c>
      <c r="L38" s="14">
        <f>274.8</f>
        <v>274.8</v>
      </c>
      <c r="M38" s="14">
        <f t="shared" si="37"/>
        <v>2929.4395608333334</v>
      </c>
      <c r="N38" s="14">
        <f t="shared" si="38"/>
        <v>346.572564</v>
      </c>
      <c r="O38" s="14">
        <f t="shared" ref="O38" si="43">(K38+L38)*8.25/1000</f>
        <v>101.54569906249999</v>
      </c>
      <c r="P38" s="14">
        <f t="shared" si="40"/>
        <v>3377.5578238958333</v>
      </c>
      <c r="Q38" s="14">
        <f t="shared" si="41"/>
        <v>1046.2284145833332</v>
      </c>
      <c r="R38" s="14">
        <f t="shared" si="42"/>
        <v>16732.3558218125</v>
      </c>
      <c r="S38" s="14"/>
    </row>
    <row r="39" spans="1:19" ht="15" x14ac:dyDescent="0.25">
      <c r="A39" s="9"/>
      <c r="B39" s="10"/>
      <c r="C39" s="15" t="s">
        <v>108</v>
      </c>
      <c r="D39" s="11" t="s">
        <v>26</v>
      </c>
      <c r="E39" s="11" t="s">
        <v>14</v>
      </c>
      <c r="F39" s="27" t="s">
        <v>102</v>
      </c>
      <c r="G39" s="12">
        <v>50</v>
      </c>
      <c r="H39" s="13">
        <f>(21392.87/2)</f>
        <v>10696.434999999999</v>
      </c>
      <c r="I39" s="13">
        <f>411.66</f>
        <v>411.66</v>
      </c>
      <c r="J39" s="14">
        <f t="shared" ref="J39" si="44">(H39+I39)/12</f>
        <v>925.67458333333332</v>
      </c>
      <c r="K39" s="14">
        <f t="shared" ref="K39" si="45">SUM(H39:J39)</f>
        <v>12033.769583333333</v>
      </c>
      <c r="L39" s="14">
        <f>274.8</f>
        <v>274.8</v>
      </c>
      <c r="M39" s="14">
        <f t="shared" ref="M39" si="46">(K39+L39)*23.8%</f>
        <v>2929.4395608333334</v>
      </c>
      <c r="N39" s="14">
        <f t="shared" ref="N39" si="47">K39*2.88%</f>
        <v>346.572564</v>
      </c>
      <c r="O39" s="14">
        <f t="shared" ref="O39" si="48">(K39+L39)*8.25/1000</f>
        <v>101.54569906249999</v>
      </c>
      <c r="P39" s="14">
        <f t="shared" ref="P39" si="49">M39+N39+O39</f>
        <v>3377.5578238958333</v>
      </c>
      <c r="Q39" s="14">
        <f t="shared" ref="Q39" si="50">(K39+L39)*8.5%</f>
        <v>1046.2284145833332</v>
      </c>
      <c r="R39" s="14">
        <f t="shared" ref="R39" si="51">K39+L39+P39+Q39</f>
        <v>16732.3558218125</v>
      </c>
      <c r="S39" s="14"/>
    </row>
    <row r="40" spans="1:19" ht="15" x14ac:dyDescent="0.25">
      <c r="A40" s="9"/>
      <c r="B40" s="10"/>
      <c r="C40" s="11"/>
      <c r="D40" s="11"/>
      <c r="E40" s="11"/>
      <c r="F40" s="11"/>
      <c r="G40" s="12"/>
      <c r="H40" s="13"/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 x14ac:dyDescent="0.25">
      <c r="A41" s="9"/>
      <c r="B41" s="10"/>
      <c r="C41" s="11"/>
      <c r="D41" s="11"/>
      <c r="E41" s="11"/>
      <c r="F41" s="11"/>
      <c r="G41" s="12"/>
      <c r="H41" s="13"/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 x14ac:dyDescent="0.25">
      <c r="A42" s="9"/>
      <c r="B42" s="10"/>
      <c r="C42" s="11"/>
      <c r="D42" s="11"/>
      <c r="E42" s="11"/>
      <c r="F42" s="11"/>
      <c r="G42" s="12"/>
      <c r="H42" s="13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 x14ac:dyDescent="0.25">
      <c r="A43" s="9">
        <v>1</v>
      </c>
      <c r="B43" s="10">
        <v>115</v>
      </c>
      <c r="C43" s="11" t="s">
        <v>18</v>
      </c>
      <c r="D43" s="11" t="s">
        <v>19</v>
      </c>
      <c r="E43" s="11" t="s">
        <v>7</v>
      </c>
      <c r="F43" s="11" t="s">
        <v>92</v>
      </c>
      <c r="G43" s="12">
        <v>0</v>
      </c>
      <c r="H43" s="13">
        <v>19034.52</v>
      </c>
      <c r="I43" s="13">
        <v>784.44</v>
      </c>
      <c r="J43" s="14">
        <f t="shared" si="0"/>
        <v>1651.58</v>
      </c>
      <c r="K43" s="14">
        <f t="shared" si="1"/>
        <v>21470.54</v>
      </c>
      <c r="L43" s="14">
        <v>471.72</v>
      </c>
      <c r="M43" s="14">
        <f t="shared" si="2"/>
        <v>5222.257880000001</v>
      </c>
      <c r="N43" s="14">
        <f t="shared" si="3"/>
        <v>618.35155199999997</v>
      </c>
      <c r="O43" s="14">
        <f t="shared" si="7"/>
        <v>109.71130000000002</v>
      </c>
      <c r="P43" s="14">
        <f t="shared" si="4"/>
        <v>5950.320732000001</v>
      </c>
      <c r="Q43" s="14">
        <f t="shared" si="5"/>
        <v>1865.0921000000003</v>
      </c>
      <c r="R43" s="14">
        <f t="shared" si="6"/>
        <v>29757.672832000004</v>
      </c>
      <c r="S43" s="14"/>
    </row>
    <row r="44" spans="1:19" ht="15" x14ac:dyDescent="0.25">
      <c r="A44" s="9">
        <v>1</v>
      </c>
      <c r="B44" s="10">
        <v>505</v>
      </c>
      <c r="C44" s="11" t="s">
        <v>48</v>
      </c>
      <c r="D44" s="11" t="s">
        <v>9</v>
      </c>
      <c r="E44" s="11" t="s">
        <v>7</v>
      </c>
      <c r="F44" s="11" t="s">
        <v>92</v>
      </c>
      <c r="G44" s="12">
        <v>0</v>
      </c>
      <c r="H44" s="13">
        <v>19034.52</v>
      </c>
      <c r="I44" s="13">
        <v>859.32</v>
      </c>
      <c r="J44" s="14">
        <f t="shared" si="0"/>
        <v>1657.82</v>
      </c>
      <c r="K44" s="14">
        <f t="shared" si="1"/>
        <v>21551.66</v>
      </c>
      <c r="L44" s="14">
        <v>471.72</v>
      </c>
      <c r="M44" s="14">
        <f t="shared" si="2"/>
        <v>5241.564440000001</v>
      </c>
      <c r="N44" s="14">
        <f t="shared" si="3"/>
        <v>620.68780800000002</v>
      </c>
      <c r="O44" s="14">
        <f t="shared" si="7"/>
        <v>110.11690000000002</v>
      </c>
      <c r="P44" s="14">
        <f t="shared" si="4"/>
        <v>5972.3691480000007</v>
      </c>
      <c r="Q44" s="14">
        <f t="shared" si="5"/>
        <v>1871.9873000000002</v>
      </c>
      <c r="R44" s="14">
        <f t="shared" si="6"/>
        <v>29867.736448000003</v>
      </c>
      <c r="S44" s="14"/>
    </row>
    <row r="45" spans="1:19" ht="15" x14ac:dyDescent="0.25">
      <c r="A45" s="9">
        <v>1</v>
      </c>
      <c r="B45" s="10">
        <v>625</v>
      </c>
      <c r="C45" s="11" t="s">
        <v>56</v>
      </c>
      <c r="D45" s="11" t="s">
        <v>6</v>
      </c>
      <c r="E45" s="11" t="s">
        <v>7</v>
      </c>
      <c r="F45" s="11" t="s">
        <v>92</v>
      </c>
      <c r="G45" s="12">
        <v>0</v>
      </c>
      <c r="H45" s="13">
        <v>19034.52</v>
      </c>
      <c r="I45" s="13">
        <v>796.44</v>
      </c>
      <c r="J45" s="14">
        <f t="shared" si="0"/>
        <v>1652.58</v>
      </c>
      <c r="K45" s="14">
        <f t="shared" si="1"/>
        <v>21483.54</v>
      </c>
      <c r="L45" s="14">
        <v>471.72</v>
      </c>
      <c r="M45" s="14">
        <f t="shared" si="2"/>
        <v>5225.3518800000011</v>
      </c>
      <c r="N45" s="14">
        <f t="shared" si="3"/>
        <v>618.72595200000001</v>
      </c>
      <c r="O45" s="14">
        <f t="shared" si="7"/>
        <v>109.77630000000002</v>
      </c>
      <c r="P45" s="14">
        <f t="shared" si="4"/>
        <v>5953.8541320000013</v>
      </c>
      <c r="Q45" s="14">
        <f t="shared" si="5"/>
        <v>1866.1971000000003</v>
      </c>
      <c r="R45" s="14">
        <f t="shared" si="6"/>
        <v>29775.311232000004</v>
      </c>
      <c r="S45" s="14"/>
    </row>
    <row r="46" spans="1:19" ht="15" x14ac:dyDescent="0.25">
      <c r="A46" s="9">
        <v>2</v>
      </c>
      <c r="B46" s="10">
        <v>111</v>
      </c>
      <c r="C46" s="11" t="s">
        <v>15</v>
      </c>
      <c r="D46" s="11" t="s">
        <v>96</v>
      </c>
      <c r="E46" s="11" t="s">
        <v>7</v>
      </c>
      <c r="F46" s="11" t="s">
        <v>98</v>
      </c>
      <c r="G46" s="12">
        <v>0</v>
      </c>
      <c r="H46" s="13">
        <v>19034.52</v>
      </c>
      <c r="I46" s="13">
        <f>366.36/50*83.33</f>
        <v>610.57557600000007</v>
      </c>
      <c r="J46" s="14">
        <f t="shared" si="0"/>
        <v>1637.0912980000001</v>
      </c>
      <c r="K46" s="14">
        <f t="shared" si="1"/>
        <v>21282.186873999999</v>
      </c>
      <c r="L46" s="14">
        <v>471.72</v>
      </c>
      <c r="M46" s="14">
        <f t="shared" si="2"/>
        <v>5177.4298360120001</v>
      </c>
      <c r="N46" s="14">
        <f t="shared" si="3"/>
        <v>612.92698197120001</v>
      </c>
      <c r="O46" s="14">
        <f t="shared" ref="O46:O51" si="52">(K46+L46)*18.05/1000</f>
        <v>392.6580190757</v>
      </c>
      <c r="P46" s="14">
        <f t="shared" si="4"/>
        <v>6183.0148370589004</v>
      </c>
      <c r="Q46" s="14">
        <f t="shared" si="5"/>
        <v>1849.0820842900002</v>
      </c>
      <c r="R46" s="14">
        <f t="shared" si="6"/>
        <v>29786.003795348901</v>
      </c>
      <c r="S46" s="14"/>
    </row>
    <row r="47" spans="1:19" ht="15" x14ac:dyDescent="0.25">
      <c r="A47" s="9">
        <v>2</v>
      </c>
      <c r="B47" s="10">
        <v>251</v>
      </c>
      <c r="C47" s="11" t="s">
        <v>27</v>
      </c>
      <c r="D47" s="11" t="s">
        <v>95</v>
      </c>
      <c r="E47" s="11" t="s">
        <v>7</v>
      </c>
      <c r="F47" s="11" t="s">
        <v>98</v>
      </c>
      <c r="G47" s="12">
        <v>50</v>
      </c>
      <c r="H47" s="13">
        <v>9517.26</v>
      </c>
      <c r="I47" s="13">
        <v>366.36</v>
      </c>
      <c r="J47" s="14">
        <f t="shared" si="0"/>
        <v>823.6350000000001</v>
      </c>
      <c r="K47" s="14">
        <f t="shared" si="1"/>
        <v>10707.255000000001</v>
      </c>
      <c r="L47" s="14">
        <v>235.86</v>
      </c>
      <c r="M47" s="14">
        <f t="shared" si="2"/>
        <v>2604.4613700000004</v>
      </c>
      <c r="N47" s="14">
        <f t="shared" si="3"/>
        <v>308.368944</v>
      </c>
      <c r="O47" s="14">
        <f t="shared" si="52"/>
        <v>197.52322575000005</v>
      </c>
      <c r="P47" s="14">
        <f t="shared" si="4"/>
        <v>3110.3535397500004</v>
      </c>
      <c r="Q47" s="14">
        <f t="shared" si="5"/>
        <v>930.16477500000019</v>
      </c>
      <c r="R47" s="14">
        <f t="shared" si="6"/>
        <v>14983.633314750001</v>
      </c>
      <c r="S47" s="14"/>
    </row>
    <row r="48" spans="1:19" ht="15" x14ac:dyDescent="0.25">
      <c r="A48" s="9">
        <v>2</v>
      </c>
      <c r="B48" s="10">
        <v>385</v>
      </c>
      <c r="C48" s="11" t="s">
        <v>36</v>
      </c>
      <c r="D48" s="11" t="s">
        <v>71</v>
      </c>
      <c r="E48" s="11" t="s">
        <v>7</v>
      </c>
      <c r="F48" s="11" t="s">
        <v>98</v>
      </c>
      <c r="G48" s="12">
        <v>0</v>
      </c>
      <c r="H48" s="13">
        <v>19034.52</v>
      </c>
      <c r="I48" s="13">
        <v>810.36</v>
      </c>
      <c r="J48" s="14">
        <f t="shared" si="0"/>
        <v>1653.74</v>
      </c>
      <c r="K48" s="14">
        <f t="shared" si="1"/>
        <v>21498.620000000003</v>
      </c>
      <c r="L48" s="14">
        <v>471.72</v>
      </c>
      <c r="M48" s="14">
        <f t="shared" si="2"/>
        <v>5228.9409200000009</v>
      </c>
      <c r="N48" s="14">
        <f t="shared" si="3"/>
        <v>619.160256</v>
      </c>
      <c r="O48" s="14">
        <f t="shared" si="52"/>
        <v>396.56463700000012</v>
      </c>
      <c r="P48" s="14">
        <f t="shared" si="4"/>
        <v>6244.6658130000014</v>
      </c>
      <c r="Q48" s="14">
        <f t="shared" si="5"/>
        <v>1867.4789000000005</v>
      </c>
      <c r="R48" s="14">
        <f t="shared" si="6"/>
        <v>30082.484713000005</v>
      </c>
      <c r="S48" s="14"/>
    </row>
    <row r="49" spans="1:19" ht="15" x14ac:dyDescent="0.25">
      <c r="A49" s="9">
        <v>2</v>
      </c>
      <c r="B49" s="10">
        <v>397</v>
      </c>
      <c r="C49" s="11" t="s">
        <v>40</v>
      </c>
      <c r="D49" s="11" t="s">
        <v>41</v>
      </c>
      <c r="E49" s="11" t="s">
        <v>7</v>
      </c>
      <c r="F49" s="11" t="s">
        <v>98</v>
      </c>
      <c r="G49" s="12">
        <v>0</v>
      </c>
      <c r="H49" s="13">
        <v>19034.52</v>
      </c>
      <c r="I49" s="13">
        <v>772.44</v>
      </c>
      <c r="J49" s="14">
        <f t="shared" si="0"/>
        <v>1650.58</v>
      </c>
      <c r="K49" s="14">
        <f t="shared" si="1"/>
        <v>21457.54</v>
      </c>
      <c r="L49" s="14">
        <v>471.72</v>
      </c>
      <c r="M49" s="14">
        <f t="shared" si="2"/>
        <v>5219.163880000001</v>
      </c>
      <c r="N49" s="14">
        <f t="shared" si="3"/>
        <v>617.97715200000005</v>
      </c>
      <c r="O49" s="14">
        <f t="shared" si="52"/>
        <v>395.82314300000002</v>
      </c>
      <c r="P49" s="14">
        <f t="shared" si="4"/>
        <v>6232.964175000001</v>
      </c>
      <c r="Q49" s="14">
        <f t="shared" si="5"/>
        <v>1863.9871000000003</v>
      </c>
      <c r="R49" s="14">
        <f t="shared" si="6"/>
        <v>30026.211275000001</v>
      </c>
      <c r="S49" s="14"/>
    </row>
    <row r="50" spans="1:19" ht="15" x14ac:dyDescent="0.25">
      <c r="A50" s="9">
        <v>2</v>
      </c>
      <c r="B50" s="10">
        <v>404</v>
      </c>
      <c r="C50" s="11" t="s">
        <v>42</v>
      </c>
      <c r="D50" s="11" t="s">
        <v>31</v>
      </c>
      <c r="E50" s="11" t="s">
        <v>7</v>
      </c>
      <c r="F50" s="11" t="s">
        <v>98</v>
      </c>
      <c r="G50" s="12">
        <v>0</v>
      </c>
      <c r="H50" s="13">
        <v>19034.52</v>
      </c>
      <c r="I50" s="13">
        <v>732.7</v>
      </c>
      <c r="J50" s="14">
        <f t="shared" si="0"/>
        <v>1647.2683333333334</v>
      </c>
      <c r="K50" s="14">
        <f t="shared" si="1"/>
        <v>21414.488333333335</v>
      </c>
      <c r="L50" s="14">
        <v>471.72</v>
      </c>
      <c r="M50" s="14">
        <f t="shared" si="2"/>
        <v>5208.9175833333347</v>
      </c>
      <c r="N50" s="14">
        <f t="shared" si="3"/>
        <v>616.73726399999998</v>
      </c>
      <c r="O50" s="14">
        <f t="shared" si="52"/>
        <v>395.04606041666671</v>
      </c>
      <c r="P50" s="14">
        <f t="shared" si="4"/>
        <v>6220.7009077500015</v>
      </c>
      <c r="Q50" s="14">
        <f t="shared" si="5"/>
        <v>1860.3277083333337</v>
      </c>
      <c r="R50" s="14">
        <f t="shared" si="6"/>
        <v>29967.236949416671</v>
      </c>
      <c r="S50" s="14"/>
    </row>
    <row r="51" spans="1:19" ht="15" x14ac:dyDescent="0.25">
      <c r="A51" s="9">
        <v>2</v>
      </c>
      <c r="B51" s="10">
        <v>545</v>
      </c>
      <c r="C51" s="11" t="s">
        <v>50</v>
      </c>
      <c r="D51" s="11" t="s">
        <v>11</v>
      </c>
      <c r="E51" s="11" t="s">
        <v>7</v>
      </c>
      <c r="F51" s="11" t="s">
        <v>98</v>
      </c>
      <c r="G51" s="12">
        <v>0</v>
      </c>
      <c r="H51" s="13">
        <v>19034.52</v>
      </c>
      <c r="I51" s="13">
        <v>796.44</v>
      </c>
      <c r="J51" s="14">
        <f t="shared" si="0"/>
        <v>1652.58</v>
      </c>
      <c r="K51" s="14">
        <f t="shared" si="1"/>
        <v>21483.54</v>
      </c>
      <c r="L51" s="14">
        <v>471.72</v>
      </c>
      <c r="M51" s="14">
        <f t="shared" si="2"/>
        <v>5225.3518800000011</v>
      </c>
      <c r="N51" s="14">
        <f t="shared" si="3"/>
        <v>618.72595200000001</v>
      </c>
      <c r="O51" s="14">
        <f t="shared" si="52"/>
        <v>396.29244300000005</v>
      </c>
      <c r="P51" s="14">
        <f t="shared" si="4"/>
        <v>6240.3702750000011</v>
      </c>
      <c r="Q51" s="14">
        <f t="shared" si="5"/>
        <v>1866.1971000000003</v>
      </c>
      <c r="R51" s="14">
        <f t="shared" si="6"/>
        <v>30061.827375000004</v>
      </c>
      <c r="S51" s="14"/>
    </row>
    <row r="52" spans="1:19" ht="15" x14ac:dyDescent="0.25">
      <c r="A52" s="9">
        <v>2</v>
      </c>
      <c r="B52" s="10">
        <v>580</v>
      </c>
      <c r="C52" s="11" t="s">
        <v>51</v>
      </c>
      <c r="D52" s="11" t="s">
        <v>52</v>
      </c>
      <c r="E52" s="11" t="s">
        <v>7</v>
      </c>
      <c r="F52" s="11" t="s">
        <v>92</v>
      </c>
      <c r="G52" s="12">
        <v>0</v>
      </c>
      <c r="H52" s="13">
        <v>19034.52</v>
      </c>
      <c r="I52" s="13">
        <v>840.84</v>
      </c>
      <c r="J52" s="14">
        <f t="shared" si="0"/>
        <v>1656.28</v>
      </c>
      <c r="K52" s="14">
        <f t="shared" si="1"/>
        <v>21531.64</v>
      </c>
      <c r="L52" s="14">
        <v>471.72</v>
      </c>
      <c r="M52" s="14">
        <f t="shared" si="2"/>
        <v>5236.7996800000001</v>
      </c>
      <c r="N52" s="14">
        <f t="shared" si="3"/>
        <v>620.11123199999997</v>
      </c>
      <c r="O52" s="14">
        <f>(K52+L52)*5/1000</f>
        <v>110.0168</v>
      </c>
      <c r="P52" s="14">
        <f t="shared" si="4"/>
        <v>5966.9277120000006</v>
      </c>
      <c r="Q52" s="14">
        <f t="shared" si="5"/>
        <v>1870.2856000000002</v>
      </c>
      <c r="R52" s="14">
        <f t="shared" si="6"/>
        <v>29840.573312</v>
      </c>
      <c r="S52" s="14"/>
    </row>
    <row r="53" spans="1:19" ht="15" x14ac:dyDescent="0.25">
      <c r="A53" s="9">
        <v>2</v>
      </c>
      <c r="B53" s="10">
        <v>623</v>
      </c>
      <c r="C53" s="11" t="s">
        <v>54</v>
      </c>
      <c r="D53" s="11" t="s">
        <v>55</v>
      </c>
      <c r="E53" s="11" t="s">
        <v>7</v>
      </c>
      <c r="F53" s="11" t="s">
        <v>98</v>
      </c>
      <c r="G53" s="12">
        <v>0</v>
      </c>
      <c r="H53" s="13">
        <v>19034.52</v>
      </c>
      <c r="I53" s="13">
        <v>744.72</v>
      </c>
      <c r="J53" s="14">
        <f t="shared" si="0"/>
        <v>1648.2700000000002</v>
      </c>
      <c r="K53" s="14">
        <f t="shared" si="1"/>
        <v>21427.510000000002</v>
      </c>
      <c r="L53" s="14">
        <v>471.72</v>
      </c>
      <c r="M53" s="14">
        <f t="shared" si="2"/>
        <v>5212.0167400000009</v>
      </c>
      <c r="N53" s="14">
        <f t="shared" si="3"/>
        <v>617.11228800000004</v>
      </c>
      <c r="O53" s="14">
        <f>(K53+L53)*18.05/1000</f>
        <v>395.28110150000003</v>
      </c>
      <c r="P53" s="14">
        <f t="shared" si="4"/>
        <v>6224.4101295000009</v>
      </c>
      <c r="Q53" s="14">
        <f t="shared" si="5"/>
        <v>1861.4345500000004</v>
      </c>
      <c r="R53" s="14">
        <f t="shared" si="6"/>
        <v>29985.074679500005</v>
      </c>
      <c r="S53" s="14"/>
    </row>
    <row r="54" spans="1:19" ht="15" x14ac:dyDescent="0.25">
      <c r="A54" s="9">
        <v>2</v>
      </c>
      <c r="B54" s="10">
        <v>608</v>
      </c>
      <c r="C54" s="11" t="s">
        <v>76</v>
      </c>
      <c r="D54" s="11" t="s">
        <v>31</v>
      </c>
      <c r="E54" s="11" t="s">
        <v>7</v>
      </c>
      <c r="F54" s="11" t="s">
        <v>92</v>
      </c>
      <c r="G54" s="12">
        <v>0</v>
      </c>
      <c r="H54" s="13">
        <f>9517.26*2</f>
        <v>19034.52</v>
      </c>
      <c r="I54" s="13">
        <f>366.36*2</f>
        <v>732.72</v>
      </c>
      <c r="J54" s="14">
        <f t="shared" si="0"/>
        <v>1647.2700000000002</v>
      </c>
      <c r="K54" s="14">
        <f t="shared" si="1"/>
        <v>21414.510000000002</v>
      </c>
      <c r="L54" s="14">
        <v>471.72</v>
      </c>
      <c r="M54" s="14">
        <f t="shared" si="2"/>
        <v>5208.9227400000009</v>
      </c>
      <c r="N54" s="14">
        <f t="shared" si="3"/>
        <v>616.737888</v>
      </c>
      <c r="O54" s="14">
        <f t="shared" ref="O54:O60" si="53">(K54+L54)*5/1000</f>
        <v>109.43115000000002</v>
      </c>
      <c r="P54" s="14">
        <f t="shared" si="4"/>
        <v>5935.0917780000009</v>
      </c>
      <c r="Q54" s="14">
        <f t="shared" si="5"/>
        <v>1860.3295500000004</v>
      </c>
      <c r="R54" s="14">
        <f t="shared" si="6"/>
        <v>29681.651328000007</v>
      </c>
      <c r="S54" s="14" t="s">
        <v>106</v>
      </c>
    </row>
    <row r="55" spans="1:19" ht="15" x14ac:dyDescent="0.25">
      <c r="A55" s="9">
        <v>3</v>
      </c>
      <c r="B55" s="10">
        <v>325</v>
      </c>
      <c r="C55" s="11" t="s">
        <v>30</v>
      </c>
      <c r="D55" s="11" t="s">
        <v>73</v>
      </c>
      <c r="E55" s="11" t="s">
        <v>7</v>
      </c>
      <c r="F55" s="11" t="s">
        <v>92</v>
      </c>
      <c r="G55" s="12">
        <v>0</v>
      </c>
      <c r="H55" s="13">
        <v>19034.52</v>
      </c>
      <c r="I55" s="13">
        <v>732.72</v>
      </c>
      <c r="J55" s="14">
        <f t="shared" si="0"/>
        <v>1647.2700000000002</v>
      </c>
      <c r="K55" s="14">
        <f t="shared" si="1"/>
        <v>21414.510000000002</v>
      </c>
      <c r="L55" s="14">
        <v>471.72</v>
      </c>
      <c r="M55" s="14">
        <f t="shared" si="2"/>
        <v>5208.9227400000009</v>
      </c>
      <c r="N55" s="14">
        <f t="shared" si="3"/>
        <v>616.737888</v>
      </c>
      <c r="O55" s="14">
        <f t="shared" si="53"/>
        <v>109.43115000000002</v>
      </c>
      <c r="P55" s="14">
        <f t="shared" si="4"/>
        <v>5935.0917780000009</v>
      </c>
      <c r="Q55" s="14">
        <f t="shared" si="5"/>
        <v>1860.3295500000004</v>
      </c>
      <c r="R55" s="14">
        <f t="shared" si="6"/>
        <v>29681.651328000007</v>
      </c>
      <c r="S55" s="14"/>
    </row>
    <row r="56" spans="1:19" ht="15" x14ac:dyDescent="0.25">
      <c r="A56" s="9">
        <v>4</v>
      </c>
      <c r="B56" s="10">
        <v>30</v>
      </c>
      <c r="C56" s="11" t="s">
        <v>5</v>
      </c>
      <c r="D56" s="11" t="s">
        <v>6</v>
      </c>
      <c r="E56" s="11" t="s">
        <v>7</v>
      </c>
      <c r="F56" s="11" t="s">
        <v>92</v>
      </c>
      <c r="G56" s="12">
        <v>0</v>
      </c>
      <c r="H56" s="13">
        <v>19034.52</v>
      </c>
      <c r="I56" s="13">
        <v>796.44</v>
      </c>
      <c r="J56" s="14">
        <f t="shared" si="0"/>
        <v>1652.58</v>
      </c>
      <c r="K56" s="14">
        <f t="shared" si="1"/>
        <v>21483.54</v>
      </c>
      <c r="L56" s="14">
        <v>471.72</v>
      </c>
      <c r="M56" s="14">
        <f t="shared" si="2"/>
        <v>5225.3518800000011</v>
      </c>
      <c r="N56" s="14">
        <f t="shared" si="3"/>
        <v>618.72595200000001</v>
      </c>
      <c r="O56" s="14">
        <f t="shared" si="53"/>
        <v>109.77630000000002</v>
      </c>
      <c r="P56" s="14">
        <f t="shared" si="4"/>
        <v>5953.8541320000013</v>
      </c>
      <c r="Q56" s="14">
        <f t="shared" si="5"/>
        <v>1866.1971000000003</v>
      </c>
      <c r="R56" s="14">
        <f t="shared" si="6"/>
        <v>29775.311232000004</v>
      </c>
      <c r="S56" s="14"/>
    </row>
    <row r="57" spans="1:19" ht="15" x14ac:dyDescent="0.25">
      <c r="A57" s="9">
        <v>4</v>
      </c>
      <c r="B57" s="10">
        <v>53</v>
      </c>
      <c r="C57" s="11" t="s">
        <v>8</v>
      </c>
      <c r="D57" s="11" t="s">
        <v>9</v>
      </c>
      <c r="E57" s="11" t="s">
        <v>7</v>
      </c>
      <c r="F57" s="11" t="s">
        <v>92</v>
      </c>
      <c r="G57" s="12">
        <v>0</v>
      </c>
      <c r="H57" s="13">
        <v>19034.52</v>
      </c>
      <c r="I57" s="13">
        <v>859.32</v>
      </c>
      <c r="J57" s="14">
        <f t="shared" si="0"/>
        <v>1657.82</v>
      </c>
      <c r="K57" s="14">
        <f t="shared" si="1"/>
        <v>21551.66</v>
      </c>
      <c r="L57" s="14">
        <v>471.72</v>
      </c>
      <c r="M57" s="14">
        <f t="shared" si="2"/>
        <v>5241.564440000001</v>
      </c>
      <c r="N57" s="14">
        <f t="shared" si="3"/>
        <v>620.68780800000002</v>
      </c>
      <c r="O57" s="14">
        <f t="shared" si="53"/>
        <v>110.11690000000002</v>
      </c>
      <c r="P57" s="14">
        <f t="shared" si="4"/>
        <v>5972.3691480000007</v>
      </c>
      <c r="Q57" s="14">
        <f t="shared" si="5"/>
        <v>1871.9873000000002</v>
      </c>
      <c r="R57" s="14">
        <f t="shared" si="6"/>
        <v>29867.736448000003</v>
      </c>
      <c r="S57" s="14"/>
    </row>
    <row r="58" spans="1:19" ht="15" x14ac:dyDescent="0.25">
      <c r="A58" s="9">
        <v>4</v>
      </c>
      <c r="B58" s="10">
        <v>55</v>
      </c>
      <c r="C58" s="11" t="s">
        <v>10</v>
      </c>
      <c r="D58" s="11" t="s">
        <v>11</v>
      </c>
      <c r="E58" s="11" t="s">
        <v>7</v>
      </c>
      <c r="F58" s="11" t="s">
        <v>92</v>
      </c>
      <c r="G58" s="12">
        <v>0</v>
      </c>
      <c r="H58" s="13">
        <v>19034.52</v>
      </c>
      <c r="I58" s="13">
        <v>796.44</v>
      </c>
      <c r="J58" s="14">
        <f t="shared" si="0"/>
        <v>1652.58</v>
      </c>
      <c r="K58" s="14">
        <f t="shared" si="1"/>
        <v>21483.54</v>
      </c>
      <c r="L58" s="14">
        <v>471.72</v>
      </c>
      <c r="M58" s="14">
        <f t="shared" si="2"/>
        <v>5225.3518800000011</v>
      </c>
      <c r="N58" s="14">
        <f t="shared" si="3"/>
        <v>618.72595200000001</v>
      </c>
      <c r="O58" s="14">
        <f t="shared" si="53"/>
        <v>109.77630000000002</v>
      </c>
      <c r="P58" s="14">
        <f t="shared" si="4"/>
        <v>5953.8541320000013</v>
      </c>
      <c r="Q58" s="14">
        <f t="shared" si="5"/>
        <v>1866.1971000000003</v>
      </c>
      <c r="R58" s="14">
        <f t="shared" si="6"/>
        <v>29775.311232000004</v>
      </c>
      <c r="S58" s="14"/>
    </row>
    <row r="59" spans="1:19" ht="15" x14ac:dyDescent="0.25">
      <c r="A59" s="9">
        <v>4</v>
      </c>
      <c r="B59" s="10">
        <v>465</v>
      </c>
      <c r="C59" s="11" t="s">
        <v>77</v>
      </c>
      <c r="D59" s="11" t="s">
        <v>31</v>
      </c>
      <c r="E59" s="11" t="s">
        <v>7</v>
      </c>
      <c r="F59" s="11" t="s">
        <v>92</v>
      </c>
      <c r="G59" s="12">
        <v>50</v>
      </c>
      <c r="H59" s="13">
        <v>9517.26</v>
      </c>
      <c r="I59" s="13">
        <v>366.36</v>
      </c>
      <c r="J59" s="14">
        <f t="shared" si="0"/>
        <v>823.6350000000001</v>
      </c>
      <c r="K59" s="14">
        <f t="shared" si="1"/>
        <v>10707.255000000001</v>
      </c>
      <c r="L59" s="14">
        <v>235.86</v>
      </c>
      <c r="M59" s="14">
        <f t="shared" si="2"/>
        <v>2604.4613700000004</v>
      </c>
      <c r="N59" s="14">
        <f t="shared" si="3"/>
        <v>308.368944</v>
      </c>
      <c r="O59" s="14">
        <f t="shared" si="53"/>
        <v>54.715575000000008</v>
      </c>
      <c r="P59" s="14">
        <f t="shared" si="4"/>
        <v>2967.5458890000004</v>
      </c>
      <c r="Q59" s="14">
        <f t="shared" si="5"/>
        <v>930.16477500000019</v>
      </c>
      <c r="R59" s="14">
        <f t="shared" si="6"/>
        <v>14840.825664000004</v>
      </c>
      <c r="S59" s="11"/>
    </row>
    <row r="60" spans="1:19" ht="15" x14ac:dyDescent="0.25">
      <c r="A60" s="9">
        <v>2</v>
      </c>
      <c r="B60" s="10">
        <v>433</v>
      </c>
      <c r="C60" s="11" t="s">
        <v>104</v>
      </c>
      <c r="D60" s="11" t="s">
        <v>31</v>
      </c>
      <c r="E60" s="11" t="s">
        <v>7</v>
      </c>
      <c r="F60" s="11" t="s">
        <v>92</v>
      </c>
      <c r="G60" s="12">
        <v>0</v>
      </c>
      <c r="H60" s="13">
        <f>H59</f>
        <v>9517.26</v>
      </c>
      <c r="I60" s="13">
        <f>I59</f>
        <v>366.36</v>
      </c>
      <c r="J60" s="14">
        <f t="shared" ref="J60" si="54">(H60+I60)/12</f>
        <v>823.6350000000001</v>
      </c>
      <c r="K60" s="14">
        <f t="shared" ref="K60" si="55">SUM(H60:J60)</f>
        <v>10707.255000000001</v>
      </c>
      <c r="L60" s="14">
        <f>L59</f>
        <v>235.86</v>
      </c>
      <c r="M60" s="14">
        <f t="shared" ref="M60" si="56">(K60+L60)*23.8%</f>
        <v>2604.4613700000004</v>
      </c>
      <c r="N60" s="14">
        <f t="shared" ref="N60" si="57">K60*2.88%</f>
        <v>308.368944</v>
      </c>
      <c r="O60" s="14">
        <f t="shared" si="53"/>
        <v>54.715575000000008</v>
      </c>
      <c r="P60" s="14">
        <f t="shared" ref="P60" si="58">M60+N60+O60</f>
        <v>2967.5458890000004</v>
      </c>
      <c r="Q60" s="14">
        <f t="shared" ref="Q60" si="59">(K60+L60)*8.5%</f>
        <v>930.16477500000019</v>
      </c>
      <c r="R60" s="14">
        <f>K60+L60+P60+Q60</f>
        <v>14840.825664000004</v>
      </c>
      <c r="S60" s="11"/>
    </row>
    <row r="61" spans="1:19" ht="29.25" customHeight="1" x14ac:dyDescent="0.25">
      <c r="A61" s="9"/>
      <c r="B61" s="10"/>
      <c r="C61" s="11"/>
      <c r="D61" s="11"/>
      <c r="E61" s="11"/>
      <c r="F61" s="11"/>
      <c r="G61" s="12"/>
      <c r="H61" s="13"/>
      <c r="I61" s="13"/>
      <c r="J61" s="14">
        <f t="shared" si="0"/>
        <v>0</v>
      </c>
      <c r="K61" s="14">
        <f t="shared" si="1"/>
        <v>0</v>
      </c>
      <c r="L61" s="14"/>
      <c r="M61" s="14"/>
      <c r="N61" s="14"/>
      <c r="O61" s="14"/>
      <c r="P61" s="14"/>
      <c r="Q61" s="14"/>
      <c r="R61" s="14"/>
      <c r="S61" s="14"/>
    </row>
    <row r="62" spans="1:19" ht="15" x14ac:dyDescent="0.25">
      <c r="A62" s="9"/>
      <c r="B62" s="10"/>
      <c r="C62" s="11"/>
      <c r="D62" s="11"/>
      <c r="E62" s="11"/>
      <c r="F62" s="11"/>
      <c r="G62" s="12"/>
      <c r="H62" s="50">
        <f>SUM(H3:H61)</f>
        <v>923221.19595066714</v>
      </c>
      <c r="I62" s="13">
        <f>SUM(I3:I60)</f>
        <v>36539.14862</v>
      </c>
      <c r="J62" s="14">
        <f t="shared" si="0"/>
        <v>79980.028714222266</v>
      </c>
      <c r="K62" s="14">
        <f t="shared" si="1"/>
        <v>1039740.3732848894</v>
      </c>
      <c r="L62" s="14">
        <f>SUM(L3:L60)</f>
        <v>23684.306720000019</v>
      </c>
      <c r="M62" s="14"/>
      <c r="N62" s="14"/>
      <c r="O62" s="14"/>
      <c r="P62" s="14">
        <f>SUM(P3:P60)</f>
        <v>290893.6405576184</v>
      </c>
      <c r="Q62" s="14">
        <f>SUM(Q3:Q60)</f>
        <v>90391.097800415533</v>
      </c>
      <c r="R62" s="14"/>
      <c r="S62" s="14"/>
    </row>
    <row r="63" spans="1:19" ht="15" x14ac:dyDescent="0.25">
      <c r="A63" s="9"/>
      <c r="B63" s="10"/>
      <c r="C63" s="11"/>
      <c r="D63" s="11"/>
      <c r="E63" s="11"/>
      <c r="F63" s="11"/>
      <c r="G63" s="12"/>
      <c r="H63" s="13"/>
      <c r="I63" s="13"/>
      <c r="J63" s="14">
        <f t="shared" si="0"/>
        <v>0</v>
      </c>
      <c r="K63" s="14">
        <f t="shared" si="1"/>
        <v>0</v>
      </c>
      <c r="L63" s="14"/>
      <c r="M63" s="14"/>
      <c r="N63" s="14"/>
      <c r="O63" s="14"/>
      <c r="P63" s="14"/>
      <c r="Q63" s="14"/>
      <c r="R63" s="14"/>
      <c r="S63" s="14"/>
    </row>
    <row r="64" spans="1:19" ht="15" x14ac:dyDescent="0.25">
      <c r="A64" s="9"/>
      <c r="B64" s="10"/>
      <c r="C64" s="11"/>
      <c r="D64" s="11"/>
      <c r="E64" s="11"/>
      <c r="F64" s="11"/>
      <c r="G64" s="12"/>
      <c r="H64" s="13"/>
      <c r="I64" s="13"/>
      <c r="J64" s="14">
        <f t="shared" si="0"/>
        <v>0</v>
      </c>
      <c r="K64" s="14">
        <f t="shared" si="1"/>
        <v>0</v>
      </c>
      <c r="L64" s="14"/>
      <c r="M64" s="14"/>
      <c r="N64" s="14"/>
      <c r="O64" s="14"/>
      <c r="P64" s="14"/>
      <c r="Q64" s="14"/>
      <c r="R64" s="14"/>
      <c r="S64" s="14"/>
    </row>
    <row r="65" spans="1:19" ht="15" x14ac:dyDescent="0.25">
      <c r="A65" s="9"/>
      <c r="B65" s="10"/>
      <c r="C65" s="11"/>
      <c r="D65" s="11"/>
      <c r="E65" s="11"/>
      <c r="F65" s="11"/>
      <c r="G65" s="12"/>
      <c r="H65" s="13"/>
      <c r="I65" s="13"/>
      <c r="J65" s="14">
        <f t="shared" si="0"/>
        <v>0</v>
      </c>
      <c r="K65" s="14">
        <f t="shared" si="1"/>
        <v>0</v>
      </c>
      <c r="L65" s="14"/>
      <c r="M65" s="14"/>
      <c r="N65" s="14"/>
      <c r="O65" s="14"/>
      <c r="P65" s="14"/>
      <c r="Q65" s="14"/>
      <c r="R65" s="14"/>
      <c r="S65" s="14"/>
    </row>
    <row r="66" spans="1:19" ht="15" x14ac:dyDescent="0.25">
      <c r="A66" s="9"/>
      <c r="B66" s="10"/>
      <c r="C66" s="11"/>
      <c r="D66" s="11"/>
      <c r="E66" s="11"/>
      <c r="F66" s="11"/>
      <c r="G66" s="12"/>
      <c r="H66" s="13"/>
      <c r="I66" s="13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15" x14ac:dyDescent="0.25">
      <c r="A67" s="9"/>
      <c r="B67" s="10"/>
      <c r="C67" s="11"/>
      <c r="D67" s="11"/>
      <c r="E67" s="11"/>
      <c r="F67" s="11"/>
      <c r="G67" s="12"/>
      <c r="H67" s="13"/>
      <c r="I67" s="13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15" x14ac:dyDescent="0.25">
      <c r="A68" s="9"/>
      <c r="B68" s="10"/>
      <c r="C68" s="11"/>
      <c r="D68" s="11"/>
      <c r="E68" s="11"/>
      <c r="F68" s="11"/>
      <c r="G68" s="12"/>
      <c r="H68" s="13"/>
      <c r="I68" s="13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15" x14ac:dyDescent="0.25">
      <c r="A69" s="9"/>
      <c r="B69" s="10"/>
      <c r="C69" s="11"/>
      <c r="D69" s="11"/>
      <c r="E69" s="11"/>
      <c r="F69" s="11"/>
      <c r="G69" s="12"/>
      <c r="H69" s="13"/>
      <c r="I69" s="13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15" x14ac:dyDescent="0.25">
      <c r="A70" s="9"/>
      <c r="B70" s="10"/>
      <c r="C70" s="11"/>
      <c r="D70" s="11"/>
      <c r="E70" s="11"/>
      <c r="F70" s="11"/>
      <c r="G70" s="12"/>
      <c r="H70" s="13"/>
      <c r="I70" s="13"/>
      <c r="J70" s="11"/>
      <c r="K70" s="11"/>
      <c r="L70" s="11"/>
      <c r="M70" s="11"/>
      <c r="N70" s="11"/>
      <c r="O70" s="11"/>
      <c r="P70" s="11"/>
      <c r="Q70" s="11"/>
      <c r="R70" s="14"/>
      <c r="S70" s="11"/>
    </row>
    <row r="71" spans="1:19" ht="53.25" customHeight="1" x14ac:dyDescent="0.25">
      <c r="A71" s="9"/>
      <c r="B71" s="10"/>
      <c r="C71" s="11"/>
      <c r="D71" s="51" t="s">
        <v>79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3"/>
      <c r="R71" s="25">
        <f>SUM(R3:R60)</f>
        <v>1444709.418362922</v>
      </c>
      <c r="S71" s="11"/>
    </row>
    <row r="72" spans="1:19" ht="15" x14ac:dyDescent="0.25">
      <c r="A72" s="9"/>
      <c r="B72" s="10"/>
      <c r="C72" s="11"/>
      <c r="D72" s="11"/>
      <c r="E72" s="11"/>
      <c r="F72" s="11"/>
      <c r="G72" s="12"/>
      <c r="H72" s="13"/>
      <c r="I72" s="13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5" x14ac:dyDescent="0.25">
      <c r="A73" s="9"/>
      <c r="B73" s="10"/>
      <c r="C73" s="11"/>
      <c r="D73" s="11"/>
      <c r="E73" s="11"/>
      <c r="F73" s="11"/>
      <c r="G73" s="12"/>
      <c r="H73" s="13"/>
      <c r="I73" s="13"/>
      <c r="J73" s="11"/>
      <c r="K73" s="11"/>
      <c r="L73" s="54" t="s">
        <v>109</v>
      </c>
      <c r="M73" s="55"/>
      <c r="N73" s="55"/>
      <c r="O73" s="55"/>
      <c r="P73" s="55"/>
      <c r="Q73" s="56"/>
      <c r="R73" s="45">
        <f>R59+R60+R12</f>
        <v>65941.144511999999</v>
      </c>
      <c r="S73" s="11"/>
    </row>
    <row r="74" spans="1:19" ht="15" x14ac:dyDescent="0.25">
      <c r="A74" s="9"/>
      <c r="B74" s="10"/>
      <c r="C74" s="11"/>
      <c r="D74" s="11"/>
      <c r="E74" s="11"/>
      <c r="F74" s="11"/>
      <c r="G74" s="12"/>
      <c r="H74" s="13"/>
      <c r="I74" s="13"/>
      <c r="J74" s="11"/>
      <c r="K74" s="11"/>
      <c r="L74" s="11"/>
      <c r="M74" s="11"/>
      <c r="N74" s="11"/>
      <c r="O74" s="11"/>
      <c r="P74" s="11"/>
      <c r="Q74" s="11"/>
      <c r="R74" s="26">
        <f>R71-R73</f>
        <v>1378768.273850922</v>
      </c>
      <c r="S74" s="11"/>
    </row>
    <row r="75" spans="1:19" ht="15" x14ac:dyDescent="0.25">
      <c r="A75" s="9"/>
      <c r="B75" s="10"/>
      <c r="C75" s="11"/>
      <c r="D75" s="11"/>
      <c r="E75" s="11"/>
      <c r="F75" s="11"/>
      <c r="G75" s="12"/>
      <c r="H75" s="13"/>
      <c r="I75" s="13"/>
      <c r="J75" s="11"/>
      <c r="K75" s="11"/>
      <c r="L75" s="54" t="s">
        <v>110</v>
      </c>
      <c r="M75" s="55"/>
      <c r="N75" s="55"/>
      <c r="O75" s="55"/>
      <c r="P75" s="55"/>
      <c r="Q75" s="56"/>
      <c r="R75" s="49">
        <v>68548.37</v>
      </c>
      <c r="S75" s="11"/>
    </row>
    <row r="76" spans="1:19" ht="15" x14ac:dyDescent="0.25">
      <c r="A76" s="9"/>
      <c r="B76" s="10"/>
      <c r="C76" s="11"/>
      <c r="D76" s="11"/>
      <c r="E76" s="11"/>
      <c r="F76" s="11"/>
      <c r="G76" s="12"/>
      <c r="H76" s="13"/>
      <c r="I76" s="13"/>
      <c r="J76" s="11"/>
      <c r="K76" s="11"/>
      <c r="L76" s="54" t="s">
        <v>111</v>
      </c>
      <c r="M76" s="55"/>
      <c r="N76" s="55"/>
      <c r="O76" s="55"/>
      <c r="P76" s="55"/>
      <c r="Q76" s="56"/>
      <c r="R76" s="25">
        <f>R74-R75</f>
        <v>1310219.9038509219</v>
      </c>
      <c r="S76" s="11"/>
    </row>
    <row r="77" spans="1:19" ht="15" x14ac:dyDescent="0.25">
      <c r="A77" s="9"/>
      <c r="B77" s="10"/>
      <c r="C77" s="11"/>
      <c r="D77" s="11"/>
      <c r="E77" s="11"/>
      <c r="F77" s="11"/>
      <c r="G77" s="12"/>
      <c r="H77" s="13"/>
      <c r="I77" s="13"/>
      <c r="J77" s="11"/>
      <c r="K77" s="11"/>
      <c r="L77" s="46"/>
      <c r="M77" s="47"/>
      <c r="N77" s="47"/>
      <c r="O77" s="47"/>
      <c r="P77" s="47"/>
      <c r="Q77" s="48"/>
      <c r="R77" s="14"/>
      <c r="S77" s="11"/>
    </row>
    <row r="78" spans="1:19" ht="15" x14ac:dyDescent="0.25">
      <c r="A78" s="9"/>
      <c r="B78" s="10"/>
      <c r="C78" s="11"/>
      <c r="D78" s="11"/>
      <c r="E78" s="11"/>
      <c r="F78" s="11"/>
      <c r="G78" s="12"/>
      <c r="H78" s="13"/>
      <c r="I78" s="13"/>
      <c r="J78" s="11"/>
      <c r="K78" s="11"/>
      <c r="L78" s="54" t="s">
        <v>93</v>
      </c>
      <c r="M78" s="55"/>
      <c r="N78" s="55"/>
      <c r="O78" s="55"/>
      <c r="P78" s="55"/>
      <c r="Q78" s="56"/>
      <c r="R78" s="25">
        <v>1334218.1499999999</v>
      </c>
      <c r="S78" s="11"/>
    </row>
    <row r="79" spans="1:19" ht="15" x14ac:dyDescent="0.25">
      <c r="A79" s="9"/>
      <c r="B79" s="10"/>
      <c r="C79" s="11"/>
      <c r="D79" s="11"/>
      <c r="E79" s="11"/>
      <c r="F79" s="11"/>
      <c r="G79" s="12"/>
      <c r="H79" s="13"/>
      <c r="I79" s="13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14.25" x14ac:dyDescent="0.2">
      <c r="A80" s="6"/>
      <c r="B80" s="3"/>
      <c r="C80" s="2"/>
      <c r="D80" s="2"/>
      <c r="E80" s="2"/>
      <c r="F80" s="2"/>
      <c r="G80" s="5"/>
      <c r="H80" s="8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4.25" x14ac:dyDescent="0.2">
      <c r="A81" s="6"/>
      <c r="B81" s="3"/>
      <c r="C81" s="2"/>
      <c r="D81" s="2"/>
      <c r="E81" s="2"/>
      <c r="F81" s="2"/>
      <c r="G81" s="5"/>
      <c r="H81" s="8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4.25" x14ac:dyDescent="0.2">
      <c r="A82" s="6"/>
      <c r="B82" s="3"/>
      <c r="C82" s="2"/>
      <c r="D82" s="2"/>
      <c r="E82" s="2"/>
      <c r="F82" s="2"/>
      <c r="G82" s="5"/>
      <c r="H82" s="8"/>
      <c r="I82" s="8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4.25" x14ac:dyDescent="0.2">
      <c r="A83" s="6"/>
      <c r="B83" s="3"/>
      <c r="C83" s="2"/>
      <c r="D83" s="2"/>
      <c r="E83" s="2"/>
      <c r="F83" s="2"/>
      <c r="G83" s="5"/>
      <c r="H83" s="8"/>
      <c r="I83" s="8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4.25" x14ac:dyDescent="0.2">
      <c r="A84" s="6"/>
      <c r="B84" s="3"/>
      <c r="C84" s="2"/>
      <c r="D84" s="2"/>
      <c r="E84" s="2"/>
      <c r="F84" s="2"/>
      <c r="G84" s="5"/>
      <c r="H84" s="8"/>
      <c r="I84" s="8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4.25" x14ac:dyDescent="0.2">
      <c r="A85" s="6"/>
      <c r="B85" s="3"/>
      <c r="C85" s="2"/>
      <c r="D85" s="2"/>
      <c r="E85" s="2"/>
      <c r="F85" s="2"/>
      <c r="G85" s="5"/>
      <c r="H85" s="8"/>
      <c r="I85" s="8"/>
      <c r="J85" s="2"/>
      <c r="K85" s="2"/>
      <c r="L85" s="2"/>
      <c r="M85" s="2"/>
      <c r="N85" s="2"/>
      <c r="O85" s="2"/>
      <c r="P85" s="2"/>
      <c r="Q85" s="2"/>
      <c r="R85" s="2"/>
      <c r="S85" s="2"/>
    </row>
  </sheetData>
  <autoFilter ref="B2:R62"/>
  <sortState ref="A4:R59">
    <sortCondition ref="E4:E59"/>
  </sortState>
  <mergeCells count="7">
    <mergeCell ref="D71:Q71"/>
    <mergeCell ref="L73:Q73"/>
    <mergeCell ref="L78:Q78"/>
    <mergeCell ref="S12:S13"/>
    <mergeCell ref="L75:Q75"/>
    <mergeCell ref="L76:Q76"/>
    <mergeCell ref="C13:G13"/>
  </mergeCells>
  <pageMargins left="0.75" right="0.75" top="1" bottom="1" header="0.5" footer="0.5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 dati anagrafici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Scioli</dc:creator>
  <cp:lastModifiedBy>Alessandro Fiorentino</cp:lastModifiedBy>
  <cp:lastPrinted>2025-03-17T10:58:00Z</cp:lastPrinted>
  <dcterms:created xsi:type="dcterms:W3CDTF">2024-10-17T14:45:11Z</dcterms:created>
  <dcterms:modified xsi:type="dcterms:W3CDTF">2026-02-17T07:42:50Z</dcterms:modified>
</cp:coreProperties>
</file>